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ochub/div/economicanalyticalservices/businessfunctions/publicationsmgmt/resourcesenergyqtrly/docs/"/>
    </mc:Choice>
  </mc:AlternateContent>
  <xr:revisionPtr revIDLastSave="0" documentId="13_ncr:1_{258F1246-EF41-4ED7-A281-3EAD1E659526}" xr6:coauthVersionLast="47" xr6:coauthVersionMax="47" xr10:uidLastSave="{00000000-0000-0000-0000-000000000000}"/>
  <bookViews>
    <workbookView xWindow="-38595" yWindow="-120" windowWidth="38640" windowHeight="21240" activeTab="1" xr2:uid="{00000000-000D-0000-FFFF-FFFF00000000}"/>
  </bookViews>
  <sheets>
    <sheet name="About" sheetId="29" r:id="rId1"/>
    <sheet name="Contents" sheetId="30" r:id="rId2"/>
    <sheet name="World macro" sheetId="14" r:id="rId3"/>
    <sheet name="Aus macro" sheetId="13" r:id="rId4"/>
    <sheet name="Commodity sector" sheetId="16" r:id="rId5"/>
    <sheet name="Selected exports" sheetId="21" r:id="rId6"/>
    <sheet name="Quarterly prices" sheetId="22" r:id="rId7"/>
    <sheet name="Quarterly export volumes" sheetId="28" r:id="rId8"/>
    <sheet name="Quarterly export values" sheetId="24" r:id="rId9"/>
    <sheet name="Steel-making" sheetId="10" r:id="rId10"/>
    <sheet name="Steel-making steel" sheetId="20" r:id="rId11"/>
    <sheet name="Steel-making iron ore" sheetId="18" r:id="rId12"/>
    <sheet name="Steel-making met coal" sheetId="19" r:id="rId13"/>
    <sheet name="Thermal coal" sheetId="8" r:id="rId14"/>
    <sheet name="Oil" sheetId="6" r:id="rId15"/>
    <sheet name="Gas" sheetId="7" r:id="rId16"/>
    <sheet name="Uranium" sheetId="9" r:id="rId17"/>
    <sheet name="Gold" sheetId="11" r:id="rId18"/>
    <sheet name="Aluminium" sheetId="12" r:id="rId19"/>
    <sheet name="Copper" sheetId="5" r:id="rId20"/>
    <sheet name="Nickel" sheetId="2" r:id="rId21"/>
    <sheet name="Zinc" sheetId="1" r:id="rId22"/>
    <sheet name="Lithium" sheetId="27" r:id="rId2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8">Aluminium!$F$7:$N$47</definedName>
    <definedName name="_xlnm.Print_Area" localSheetId="3">'Aus macro'!$F$7:$N$15</definedName>
    <definedName name="_xlnm.Print_Area" localSheetId="4">'Commodity sector'!$F$7:$N$18</definedName>
    <definedName name="_xlnm.Print_Area" localSheetId="19">Copper!$F$7:$N$39</definedName>
    <definedName name="_xlnm.Print_Area" localSheetId="15">Gas!$F$7:$N$28</definedName>
    <definedName name="_xlnm.Print_Area" localSheetId="17">Gold!$F$7:$N$32</definedName>
    <definedName name="_xlnm.Print_Area" localSheetId="20">Nickel!$F$7:$N$37</definedName>
    <definedName name="_xlnm.Print_Area" localSheetId="14">Oil!$F$7:$N$44</definedName>
    <definedName name="_xlnm.Print_Area" localSheetId="5">'Selected exports'!$F$7:$Q$26</definedName>
    <definedName name="_xlnm.Print_Area" localSheetId="9">'Steel-making'!$F$7:$N$44</definedName>
    <definedName name="_xlnm.Print_Area" localSheetId="11">'Steel-making iron ore'!$F$7:$M$22</definedName>
    <definedName name="_xlnm.Print_Area" localSheetId="12">'Steel-making met coal'!$F$7:$N$24</definedName>
    <definedName name="_xlnm.Print_Area" localSheetId="10">'Steel-making steel'!$F$7:$M$31</definedName>
    <definedName name="_xlnm.Print_Area" localSheetId="13">'Thermal coal'!$F$6:$N$49</definedName>
    <definedName name="_xlnm.Print_Area" localSheetId="16">Uranium!$F$7:$N$38</definedName>
    <definedName name="_xlnm.Print_Area" localSheetId="2">'World macro'!$F$7:$M$32</definedName>
    <definedName name="_xlnm.Print_Area" localSheetId="21">Zinc!$F$7:$N$39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20" l="1"/>
  <c r="N16" i="20"/>
  <c r="O37" i="7"/>
  <c r="O36" i="7"/>
  <c r="N16" i="18"/>
  <c r="N17" i="18"/>
  <c r="N18" i="18"/>
  <c r="I17" i="24" l="1"/>
  <c r="Q14" i="21"/>
  <c r="J14" i="21"/>
  <c r="H3" i="21"/>
  <c r="F26" i="21" s="1"/>
  <c r="A3" i="21"/>
  <c r="H2" i="21" s="1"/>
  <c r="O34" i="27" l="1"/>
  <c r="O33" i="27"/>
  <c r="O32" i="27"/>
  <c r="O31" i="27"/>
  <c r="O29" i="27"/>
  <c r="O28" i="27"/>
  <c r="O26" i="27"/>
  <c r="H19" i="27"/>
  <c r="O17" i="27"/>
  <c r="O16" i="27"/>
  <c r="O14" i="27"/>
  <c r="O13" i="27"/>
  <c r="O11" i="27"/>
  <c r="O10" i="27"/>
  <c r="H8" i="27"/>
  <c r="A4" i="27"/>
  <c r="H3" i="27"/>
  <c r="H23" i="27" s="1"/>
  <c r="A3" i="27"/>
  <c r="H1" i="27"/>
  <c r="F42" i="1"/>
  <c r="O34" i="1"/>
  <c r="O33" i="1"/>
  <c r="O31" i="1"/>
  <c r="O30" i="1"/>
  <c r="O29" i="1"/>
  <c r="O27" i="1"/>
  <c r="O26" i="1"/>
  <c r="H24" i="1"/>
  <c r="O19" i="1"/>
  <c r="O18" i="1"/>
  <c r="O17" i="1"/>
  <c r="O16" i="1"/>
  <c r="O13" i="1"/>
  <c r="O12" i="1"/>
  <c r="O11" i="1"/>
  <c r="O10" i="1"/>
  <c r="H7" i="1"/>
  <c r="A4" i="1"/>
  <c r="H3" i="1"/>
  <c r="I3" i="1" s="1"/>
  <c r="A3" i="1"/>
  <c r="H1" i="1"/>
  <c r="F41" i="2"/>
  <c r="O32" i="2"/>
  <c r="O31" i="2"/>
  <c r="O30" i="2"/>
  <c r="O29" i="2"/>
  <c r="O28" i="2"/>
  <c r="O27" i="2"/>
  <c r="H24" i="2"/>
  <c r="H21" i="2"/>
  <c r="O19" i="2"/>
  <c r="O18" i="2"/>
  <c r="O17" i="2"/>
  <c r="O16" i="2"/>
  <c r="O14" i="2"/>
  <c r="O13" i="2"/>
  <c r="O12" i="2"/>
  <c r="O11" i="2"/>
  <c r="O10" i="2"/>
  <c r="H7" i="2"/>
  <c r="A4" i="2"/>
  <c r="I3" i="2"/>
  <c r="J3" i="2" s="1"/>
  <c r="H3" i="2"/>
  <c r="A3" i="2"/>
  <c r="H1" i="2"/>
  <c r="F42" i="5"/>
  <c r="O34" i="5"/>
  <c r="O33" i="5"/>
  <c r="O31" i="5"/>
  <c r="O30" i="5"/>
  <c r="O29" i="5"/>
  <c r="O27" i="5"/>
  <c r="O26" i="5"/>
  <c r="H24" i="5"/>
  <c r="H21" i="5"/>
  <c r="O19" i="5"/>
  <c r="O18" i="5"/>
  <c r="O17" i="5"/>
  <c r="O16" i="5"/>
  <c r="O14" i="5"/>
  <c r="O13" i="5"/>
  <c r="O12" i="5"/>
  <c r="O11" i="5"/>
  <c r="O10" i="5"/>
  <c r="H7" i="5"/>
  <c r="A4" i="5"/>
  <c r="I3" i="5"/>
  <c r="J3" i="5" s="1"/>
  <c r="H3" i="5"/>
  <c r="A3" i="5"/>
  <c r="H1" i="5"/>
  <c r="F52" i="12"/>
  <c r="O43" i="12"/>
  <c r="O42" i="12"/>
  <c r="O40" i="12"/>
  <c r="O39" i="12"/>
  <c r="O38" i="12"/>
  <c r="O37" i="12"/>
  <c r="O36" i="12"/>
  <c r="O35" i="12"/>
  <c r="O34" i="12"/>
  <c r="O33" i="12"/>
  <c r="O32" i="12"/>
  <c r="O30" i="12"/>
  <c r="O28" i="12"/>
  <c r="O27" i="12"/>
  <c r="O26" i="12"/>
  <c r="O18" i="12"/>
  <c r="O17" i="12"/>
  <c r="O15" i="12"/>
  <c r="O14" i="12"/>
  <c r="O11" i="12"/>
  <c r="O10" i="12"/>
  <c r="A4" i="12"/>
  <c r="H3" i="12"/>
  <c r="A3" i="12"/>
  <c r="H1" i="12"/>
  <c r="F36" i="11"/>
  <c r="O27" i="11"/>
  <c r="O26" i="11"/>
  <c r="O24" i="11"/>
  <c r="O23" i="11"/>
  <c r="O22" i="11"/>
  <c r="O21" i="11"/>
  <c r="H19" i="11"/>
  <c r="H16" i="11"/>
  <c r="O14" i="11"/>
  <c r="O13" i="11"/>
  <c r="O11" i="11"/>
  <c r="O10" i="11"/>
  <c r="O9" i="11"/>
  <c r="H7" i="11"/>
  <c r="A4" i="11"/>
  <c r="I3" i="11"/>
  <c r="I19" i="11" s="1"/>
  <c r="H3" i="11"/>
  <c r="A3" i="11"/>
  <c r="H1" i="11"/>
  <c r="F41" i="9"/>
  <c r="O33" i="9"/>
  <c r="O32" i="9"/>
  <c r="O31" i="9"/>
  <c r="O30" i="9"/>
  <c r="O29" i="9"/>
  <c r="O28" i="9"/>
  <c r="H26" i="9"/>
  <c r="H23" i="9"/>
  <c r="O21" i="9"/>
  <c r="O20" i="9"/>
  <c r="O19" i="9"/>
  <c r="O18" i="9"/>
  <c r="O17" i="9"/>
  <c r="O16" i="9"/>
  <c r="O15" i="9"/>
  <c r="O14" i="9"/>
  <c r="O13" i="9"/>
  <c r="O12" i="9"/>
  <c r="O11" i="9"/>
  <c r="O10" i="9"/>
  <c r="O9" i="9"/>
  <c r="A4" i="9"/>
  <c r="H3" i="9"/>
  <c r="I3" i="9" s="1"/>
  <c r="A3" i="9"/>
  <c r="H1" i="9"/>
  <c r="F50" i="7"/>
  <c r="O35" i="7"/>
  <c r="O34" i="7"/>
  <c r="O32" i="7"/>
  <c r="O31" i="7"/>
  <c r="O30" i="7"/>
  <c r="O29" i="7"/>
  <c r="O28" i="7"/>
  <c r="O27" i="7"/>
  <c r="O26" i="7"/>
  <c r="O18" i="7"/>
  <c r="O17" i="7"/>
  <c r="O16" i="7"/>
  <c r="O15" i="7"/>
  <c r="O14" i="7"/>
  <c r="O12" i="7"/>
  <c r="O11" i="7"/>
  <c r="A4" i="7"/>
  <c r="H3" i="7"/>
  <c r="A3" i="7"/>
  <c r="H1" i="7"/>
  <c r="F50" i="6"/>
  <c r="O38" i="6"/>
  <c r="O37" i="6"/>
  <c r="O36" i="6"/>
  <c r="O35" i="6"/>
  <c r="O33" i="6"/>
  <c r="O32" i="6"/>
  <c r="O31" i="6"/>
  <c r="O30" i="6"/>
  <c r="O28" i="6"/>
  <c r="O27" i="6"/>
  <c r="O26" i="6"/>
  <c r="O25" i="6"/>
  <c r="O24" i="6"/>
  <c r="I21" i="6"/>
  <c r="H21" i="6"/>
  <c r="H18" i="6"/>
  <c r="O16" i="6"/>
  <c r="O15" i="6"/>
  <c r="O13" i="6"/>
  <c r="O12" i="6"/>
  <c r="O10" i="6"/>
  <c r="O9" i="6"/>
  <c r="I7" i="6"/>
  <c r="H7" i="6"/>
  <c r="A4" i="6"/>
  <c r="K3" i="6"/>
  <c r="J3" i="6"/>
  <c r="J18" i="6" s="1"/>
  <c r="I3" i="6"/>
  <c r="I18" i="6" s="1"/>
  <c r="H3" i="6"/>
  <c r="A3" i="6"/>
  <c r="H1" i="6"/>
  <c r="F55" i="8"/>
  <c r="F51" i="8"/>
  <c r="O44" i="8"/>
  <c r="O43" i="8"/>
  <c r="O42" i="8"/>
  <c r="O41" i="8"/>
  <c r="H39" i="8"/>
  <c r="I36" i="8"/>
  <c r="H36" i="8"/>
  <c r="O34" i="8"/>
  <c r="O33" i="8"/>
  <c r="O32" i="8"/>
  <c r="O31" i="8"/>
  <c r="O30" i="8"/>
  <c r="O29" i="8"/>
  <c r="O27" i="8"/>
  <c r="O26" i="8"/>
  <c r="O25" i="8"/>
  <c r="O24" i="8"/>
  <c r="O23" i="8"/>
  <c r="O22" i="8"/>
  <c r="O21" i="8"/>
  <c r="O20" i="8"/>
  <c r="O19" i="8"/>
  <c r="O17" i="8"/>
  <c r="H16" i="8"/>
  <c r="O14" i="8"/>
  <c r="O13" i="8"/>
  <c r="O11" i="8"/>
  <c r="O10" i="8"/>
  <c r="H7" i="8"/>
  <c r="A4" i="8"/>
  <c r="I3" i="8"/>
  <c r="I39" i="8" s="1"/>
  <c r="H3" i="8"/>
  <c r="A3" i="8"/>
  <c r="H1" i="8"/>
  <c r="F27" i="19"/>
  <c r="O21" i="19"/>
  <c r="O20" i="19"/>
  <c r="O19" i="19"/>
  <c r="O18" i="19"/>
  <c r="O17" i="19"/>
  <c r="O16" i="19"/>
  <c r="O15" i="19"/>
  <c r="O13" i="19"/>
  <c r="O12" i="19"/>
  <c r="O11" i="19"/>
  <c r="O10" i="19"/>
  <c r="O9" i="19"/>
  <c r="A4" i="19"/>
  <c r="I3" i="19"/>
  <c r="I7" i="19" s="1"/>
  <c r="H3" i="19"/>
  <c r="H7" i="19" s="1"/>
  <c r="A3" i="19"/>
  <c r="H1" i="19"/>
  <c r="F22" i="18"/>
  <c r="N19" i="18"/>
  <c r="N15" i="18"/>
  <c r="N14" i="18"/>
  <c r="N12" i="18"/>
  <c r="N11" i="18"/>
  <c r="N10" i="18"/>
  <c r="N9" i="18"/>
  <c r="I7" i="18"/>
  <c r="H7" i="18"/>
  <c r="G7" i="18"/>
  <c r="A4" i="18"/>
  <c r="L3" i="18"/>
  <c r="K3" i="18"/>
  <c r="K7" i="18" s="1"/>
  <c r="J3" i="18"/>
  <c r="J7" i="18" s="1"/>
  <c r="I3" i="18"/>
  <c r="H3" i="18"/>
  <c r="G3" i="18"/>
  <c r="A3" i="18"/>
  <c r="H1" i="18"/>
  <c r="F31" i="20"/>
  <c r="N27" i="20"/>
  <c r="N25" i="20"/>
  <c r="N24" i="20"/>
  <c r="N23" i="20"/>
  <c r="N22" i="20"/>
  <c r="N21" i="20"/>
  <c r="N20" i="20"/>
  <c r="N19" i="20"/>
  <c r="N17" i="20"/>
  <c r="N15" i="20"/>
  <c r="N14" i="20"/>
  <c r="N13" i="20"/>
  <c r="N12" i="20"/>
  <c r="N11" i="20"/>
  <c r="N10" i="20"/>
  <c r="N9" i="20"/>
  <c r="I7" i="20"/>
  <c r="H7" i="20"/>
  <c r="G7" i="20"/>
  <c r="A4" i="20"/>
  <c r="K3" i="20"/>
  <c r="K7" i="20" s="1"/>
  <c r="J3" i="20"/>
  <c r="J7" i="20" s="1"/>
  <c r="I3" i="20"/>
  <c r="H3" i="20"/>
  <c r="G3" i="20"/>
  <c r="A3" i="20"/>
  <c r="H1" i="20"/>
  <c r="F49" i="10"/>
  <c r="F42" i="10"/>
  <c r="O37" i="10"/>
  <c r="O36" i="10"/>
  <c r="O35" i="10"/>
  <c r="O34" i="10"/>
  <c r="O33" i="10"/>
  <c r="O32" i="10"/>
  <c r="O31" i="10"/>
  <c r="O30" i="10"/>
  <c r="O29" i="10"/>
  <c r="O27" i="10"/>
  <c r="O26" i="10"/>
  <c r="O25" i="10"/>
  <c r="H19" i="10"/>
  <c r="O18" i="10"/>
  <c r="O17" i="10"/>
  <c r="O15" i="10"/>
  <c r="O14" i="10"/>
  <c r="O12" i="10"/>
  <c r="O11" i="10"/>
  <c r="H7" i="10"/>
  <c r="A4" i="10"/>
  <c r="H3" i="10"/>
  <c r="H22" i="10" s="1"/>
  <c r="F48" i="10" s="1"/>
  <c r="A3" i="10"/>
  <c r="H1" i="10"/>
  <c r="AE24" i="24"/>
  <c r="AD24" i="24"/>
  <c r="AC24" i="24"/>
  <c r="AB24" i="24"/>
  <c r="AA24" i="24"/>
  <c r="Z24" i="24"/>
  <c r="Y24" i="24"/>
  <c r="X24" i="24"/>
  <c r="W24" i="24"/>
  <c r="V24" i="24"/>
  <c r="U24" i="24"/>
  <c r="T24" i="24"/>
  <c r="S24" i="24"/>
  <c r="R24" i="24"/>
  <c r="Q24" i="24"/>
  <c r="P24" i="24"/>
  <c r="O24" i="24"/>
  <c r="N24" i="24"/>
  <c r="M24" i="24"/>
  <c r="L24" i="24"/>
  <c r="K24" i="24"/>
  <c r="J24" i="24"/>
  <c r="I24" i="24"/>
  <c r="H24" i="24"/>
  <c r="AE17" i="24"/>
  <c r="AD17" i="24"/>
  <c r="AC17" i="24"/>
  <c r="AB17" i="24"/>
  <c r="AA17" i="24"/>
  <c r="Z17" i="24"/>
  <c r="Y17" i="24"/>
  <c r="X17" i="24"/>
  <c r="W17" i="24"/>
  <c r="V17" i="24"/>
  <c r="U17" i="24"/>
  <c r="T17" i="24"/>
  <c r="S17" i="24"/>
  <c r="R17" i="24"/>
  <c r="Q17" i="24"/>
  <c r="P17" i="24"/>
  <c r="O17" i="24"/>
  <c r="N17" i="24"/>
  <c r="M17" i="24"/>
  <c r="L17" i="24"/>
  <c r="K17" i="24"/>
  <c r="J17" i="24"/>
  <c r="H17" i="24"/>
  <c r="J4" i="24"/>
  <c r="K4" i="24" s="1"/>
  <c r="I4" i="24"/>
  <c r="H4" i="24"/>
  <c r="H3" i="24"/>
  <c r="I3" i="24" s="1"/>
  <c r="I8" i="24" s="1"/>
  <c r="A3" i="24"/>
  <c r="H1" i="24"/>
  <c r="I4" i="28"/>
  <c r="H4" i="28"/>
  <c r="H3" i="28"/>
  <c r="H8" i="28" s="1"/>
  <c r="A3" i="28"/>
  <c r="H1" i="28"/>
  <c r="H4" i="22"/>
  <c r="I4" i="22" s="1"/>
  <c r="J4" i="22" s="1"/>
  <c r="K4" i="22" s="1"/>
  <c r="A3" i="22"/>
  <c r="H3" i="22" s="1"/>
  <c r="H1" i="22"/>
  <c r="A4" i="21"/>
  <c r="I2" i="21"/>
  <c r="H1" i="21"/>
  <c r="H7" i="16"/>
  <c r="A4" i="16"/>
  <c r="H3" i="16"/>
  <c r="A3" i="16"/>
  <c r="I2" i="16"/>
  <c r="H2" i="16"/>
  <c r="H1" i="16"/>
  <c r="H7" i="13"/>
  <c r="A4" i="13"/>
  <c r="H3" i="13"/>
  <c r="A3" i="13"/>
  <c r="I2" i="13"/>
  <c r="H2" i="13"/>
  <c r="H1" i="13"/>
  <c r="G7" i="14"/>
  <c r="A4" i="14"/>
  <c r="I3" i="14"/>
  <c r="J3" i="14" s="1"/>
  <c r="H3" i="14"/>
  <c r="H7" i="14" s="1"/>
  <c r="G3" i="14"/>
  <c r="A3" i="14"/>
  <c r="H1" i="14"/>
  <c r="K3" i="14" l="1"/>
  <c r="J7" i="14"/>
  <c r="J2" i="16"/>
  <c r="I3" i="16"/>
  <c r="I7" i="16"/>
  <c r="J9" i="21"/>
  <c r="L7" i="18"/>
  <c r="M3" i="18"/>
  <c r="M7" i="18" s="1"/>
  <c r="I23" i="9"/>
  <c r="J3" i="9"/>
  <c r="I26" i="9"/>
  <c r="I7" i="9"/>
  <c r="I7" i="14"/>
  <c r="J10" i="21"/>
  <c r="H8" i="22"/>
  <c r="I3" i="22"/>
  <c r="J4" i="28"/>
  <c r="H20" i="12"/>
  <c r="H7" i="12"/>
  <c r="H23" i="12"/>
  <c r="I3" i="12"/>
  <c r="K3" i="5"/>
  <c r="J21" i="5"/>
  <c r="J7" i="5"/>
  <c r="J24" i="5"/>
  <c r="J3" i="1"/>
  <c r="I21" i="1"/>
  <c r="I7" i="1"/>
  <c r="J3" i="19"/>
  <c r="K3" i="2"/>
  <c r="J21" i="2"/>
  <c r="J7" i="2"/>
  <c r="J24" i="2"/>
  <c r="I24" i="1"/>
  <c r="I3" i="28"/>
  <c r="I8" i="28" s="1"/>
  <c r="L3" i="20"/>
  <c r="K18" i="6"/>
  <c r="K7" i="6"/>
  <c r="K21" i="6"/>
  <c r="L3" i="6"/>
  <c r="L4" i="24"/>
  <c r="J19" i="21"/>
  <c r="J12" i="21"/>
  <c r="J18" i="21"/>
  <c r="J11" i="21"/>
  <c r="I3" i="21"/>
  <c r="P3" i="21" s="1"/>
  <c r="P2" i="21"/>
  <c r="J21" i="21"/>
  <c r="J15" i="21"/>
  <c r="I8" i="21"/>
  <c r="P8" i="21" s="1"/>
  <c r="J20" i="21"/>
  <c r="J13" i="21"/>
  <c r="J2" i="13"/>
  <c r="I3" i="13"/>
  <c r="I7" i="13"/>
  <c r="J16" i="21"/>
  <c r="J3" i="24"/>
  <c r="J8" i="24" s="1"/>
  <c r="H8" i="7"/>
  <c r="H24" i="7"/>
  <c r="I3" i="7"/>
  <c r="H21" i="7"/>
  <c r="L4" i="22"/>
  <c r="H7" i="9"/>
  <c r="I24" i="5"/>
  <c r="I24" i="2"/>
  <c r="H8" i="24"/>
  <c r="I7" i="8"/>
  <c r="I16" i="8" s="1"/>
  <c r="I7" i="11"/>
  <c r="I16" i="11"/>
  <c r="I7" i="5"/>
  <c r="I7" i="2"/>
  <c r="J21" i="6"/>
  <c r="H21" i="1"/>
  <c r="K3" i="24"/>
  <c r="L3" i="24" s="1"/>
  <c r="I3" i="10"/>
  <c r="I3" i="27"/>
  <c r="I21" i="5"/>
  <c r="I21" i="2"/>
  <c r="J3" i="8"/>
  <c r="J7" i="6"/>
  <c r="J3" i="11"/>
  <c r="H8" i="21" l="1"/>
  <c r="O8" i="21" s="1"/>
  <c r="O2" i="21"/>
  <c r="J17" i="21"/>
  <c r="J23" i="9"/>
  <c r="K3" i="9"/>
  <c r="J26" i="9"/>
  <c r="J7" i="9"/>
  <c r="I22" i="10"/>
  <c r="J3" i="10"/>
  <c r="I19" i="10"/>
  <c r="I7" i="10"/>
  <c r="M4" i="22"/>
  <c r="L3" i="2"/>
  <c r="K21" i="2"/>
  <c r="K7" i="2"/>
  <c r="K24" i="2"/>
  <c r="M4" i="24"/>
  <c r="M3" i="24"/>
  <c r="L8" i="24"/>
  <c r="J7" i="19"/>
  <c r="K3" i="19"/>
  <c r="J3" i="28"/>
  <c r="K3" i="28" s="1"/>
  <c r="K2" i="13"/>
  <c r="J7" i="13"/>
  <c r="J3" i="13"/>
  <c r="K8" i="24"/>
  <c r="I8" i="7"/>
  <c r="I24" i="7"/>
  <c r="J3" i="7"/>
  <c r="I21" i="7"/>
  <c r="L7" i="6"/>
  <c r="L21" i="6"/>
  <c r="M3" i="6"/>
  <c r="L18" i="6"/>
  <c r="J8" i="28"/>
  <c r="K4" i="28"/>
  <c r="L3" i="5"/>
  <c r="K21" i="5"/>
  <c r="K7" i="5"/>
  <c r="K24" i="5"/>
  <c r="I8" i="22"/>
  <c r="J3" i="22"/>
  <c r="K3" i="11"/>
  <c r="J16" i="11"/>
  <c r="J7" i="11"/>
  <c r="J19" i="11"/>
  <c r="K3" i="1"/>
  <c r="J21" i="1"/>
  <c r="J7" i="1"/>
  <c r="J24" i="1"/>
  <c r="K2" i="16"/>
  <c r="J7" i="16"/>
  <c r="J3" i="16"/>
  <c r="I23" i="27"/>
  <c r="J3" i="27"/>
  <c r="I19" i="27"/>
  <c r="I8" i="27"/>
  <c r="I7" i="12"/>
  <c r="I23" i="12"/>
  <c r="J3" i="12"/>
  <c r="I20" i="12"/>
  <c r="J39" i="8"/>
  <c r="K3" i="8"/>
  <c r="J7" i="8"/>
  <c r="J16" i="8" s="1"/>
  <c r="J36" i="8"/>
  <c r="Q19" i="21"/>
  <c r="Q12" i="21"/>
  <c r="Q16" i="21"/>
  <c r="Q9" i="21"/>
  <c r="Q20" i="21"/>
  <c r="Q13" i="21"/>
  <c r="Q21" i="21"/>
  <c r="Q10" i="21"/>
  <c r="Q18" i="21"/>
  <c r="Q17" i="21"/>
  <c r="Q15" i="21"/>
  <c r="Q11" i="21"/>
  <c r="L7" i="20"/>
  <c r="M3" i="20"/>
  <c r="M7" i="20" s="1"/>
  <c r="L3" i="14"/>
  <c r="K7" i="14"/>
  <c r="O3" i="21" l="1"/>
  <c r="K7" i="13"/>
  <c r="L2" i="13"/>
  <c r="K3" i="13"/>
  <c r="N4" i="22"/>
  <c r="L21" i="2"/>
  <c r="L7" i="2"/>
  <c r="L24" i="2"/>
  <c r="M3" i="2"/>
  <c r="M3" i="14"/>
  <c r="M7" i="14" s="1"/>
  <c r="L7" i="14"/>
  <c r="J23" i="12"/>
  <c r="K3" i="12"/>
  <c r="J20" i="12"/>
  <c r="J7" i="12"/>
  <c r="L3" i="1"/>
  <c r="K21" i="1"/>
  <c r="K7" i="1"/>
  <c r="K24" i="1"/>
  <c r="L3" i="28"/>
  <c r="K8" i="28"/>
  <c r="L4" i="28"/>
  <c r="K3" i="22"/>
  <c r="J8" i="22"/>
  <c r="K3" i="10"/>
  <c r="J19" i="10"/>
  <c r="J7" i="10"/>
  <c r="J22" i="10"/>
  <c r="L3" i="19"/>
  <c r="K7" i="19"/>
  <c r="J24" i="7"/>
  <c r="K3" i="7"/>
  <c r="J8" i="7"/>
  <c r="J21" i="7"/>
  <c r="N4" i="24"/>
  <c r="N3" i="24"/>
  <c r="M8" i="24"/>
  <c r="K3" i="27"/>
  <c r="J19" i="27"/>
  <c r="J8" i="27"/>
  <c r="J23" i="27"/>
  <c r="M21" i="6"/>
  <c r="N3" i="6"/>
  <c r="M18" i="6"/>
  <c r="M7" i="6"/>
  <c r="L3" i="11"/>
  <c r="K16" i="11"/>
  <c r="K7" i="11"/>
  <c r="K19" i="11"/>
  <c r="L2" i="16"/>
  <c r="K7" i="16"/>
  <c r="K3" i="16"/>
  <c r="K23" i="9"/>
  <c r="L3" i="9"/>
  <c r="K26" i="9"/>
  <c r="K7" i="9"/>
  <c r="K39" i="8"/>
  <c r="L3" i="8"/>
  <c r="K7" i="8"/>
  <c r="K16" i="8" s="1"/>
  <c r="K36" i="8"/>
  <c r="L21" i="5"/>
  <c r="L7" i="5"/>
  <c r="L24" i="5"/>
  <c r="M3" i="5"/>
  <c r="O4" i="24" l="1"/>
  <c r="O3" i="24"/>
  <c r="N8" i="24"/>
  <c r="K8" i="22"/>
  <c r="L3" i="22"/>
  <c r="L7" i="8"/>
  <c r="L16" i="8" s="1"/>
  <c r="L36" i="8"/>
  <c r="L39" i="8"/>
  <c r="M3" i="8"/>
  <c r="L16" i="11"/>
  <c r="L7" i="11"/>
  <c r="M3" i="11"/>
  <c r="L19" i="11"/>
  <c r="M4" i="28"/>
  <c r="M3" i="28"/>
  <c r="L8" i="28"/>
  <c r="M3" i="19"/>
  <c r="L7" i="19"/>
  <c r="M7" i="5"/>
  <c r="M24" i="5"/>
  <c r="N3" i="5"/>
  <c r="M21" i="5"/>
  <c r="M3" i="1"/>
  <c r="L21" i="1"/>
  <c r="L7" i="1"/>
  <c r="L24" i="1"/>
  <c r="O4" i="22"/>
  <c r="K24" i="7"/>
  <c r="L3" i="7"/>
  <c r="K21" i="7"/>
  <c r="K8" i="7"/>
  <c r="M2" i="16"/>
  <c r="L7" i="16"/>
  <c r="L3" i="16"/>
  <c r="L3" i="27"/>
  <c r="K19" i="27"/>
  <c r="K8" i="27"/>
  <c r="K23" i="27"/>
  <c r="M7" i="2"/>
  <c r="M24" i="2"/>
  <c r="N3" i="2"/>
  <c r="M21" i="2"/>
  <c r="N21" i="6"/>
  <c r="N7" i="6"/>
  <c r="N18" i="6"/>
  <c r="L3" i="10"/>
  <c r="K19" i="10"/>
  <c r="K7" i="10"/>
  <c r="K22" i="10"/>
  <c r="K23" i="12"/>
  <c r="L3" i="12"/>
  <c r="K7" i="12"/>
  <c r="K20" i="12"/>
  <c r="M2" i="13"/>
  <c r="L7" i="13"/>
  <c r="L3" i="13"/>
  <c r="M3" i="9"/>
  <c r="L26" i="9"/>
  <c r="L7" i="9"/>
  <c r="L23" i="9"/>
  <c r="M16" i="11" l="1"/>
  <c r="M7" i="11"/>
  <c r="M19" i="11"/>
  <c r="N3" i="11"/>
  <c r="M3" i="10"/>
  <c r="L19" i="10"/>
  <c r="L7" i="10"/>
  <c r="L22" i="10"/>
  <c r="N3" i="9"/>
  <c r="M26" i="9"/>
  <c r="M7" i="9"/>
  <c r="M23" i="9"/>
  <c r="M21" i="1"/>
  <c r="M7" i="1"/>
  <c r="M24" i="1"/>
  <c r="N3" i="1"/>
  <c r="N7" i="5"/>
  <c r="N24" i="5"/>
  <c r="N21" i="5"/>
  <c r="M7" i="8"/>
  <c r="M16" i="8" s="1"/>
  <c r="M36" i="8"/>
  <c r="M39" i="8"/>
  <c r="N3" i="8"/>
  <c r="M7" i="16"/>
  <c r="M3" i="16"/>
  <c r="N2" i="16"/>
  <c r="M7" i="13"/>
  <c r="N2" i="13"/>
  <c r="M3" i="13"/>
  <c r="N7" i="2"/>
  <c r="N24" i="2"/>
  <c r="N21" i="2"/>
  <c r="L24" i="7"/>
  <c r="M3" i="7"/>
  <c r="L21" i="7"/>
  <c r="L8" i="7"/>
  <c r="M3" i="22"/>
  <c r="L8" i="22"/>
  <c r="L23" i="12"/>
  <c r="M3" i="12"/>
  <c r="L20" i="12"/>
  <c r="L7" i="12"/>
  <c r="P4" i="22"/>
  <c r="M8" i="28"/>
  <c r="N3" i="28"/>
  <c r="N4" i="28"/>
  <c r="N3" i="19"/>
  <c r="N7" i="19" s="1"/>
  <c r="M7" i="19"/>
  <c r="M3" i="27"/>
  <c r="L19" i="27"/>
  <c r="L8" i="27"/>
  <c r="L23" i="27"/>
  <c r="O8" i="24"/>
  <c r="P4" i="24"/>
  <c r="P3" i="24"/>
  <c r="O13" i="16" l="1"/>
  <c r="O12" i="16"/>
  <c r="N3" i="16"/>
  <c r="O10" i="16"/>
  <c r="O14" i="16"/>
  <c r="O9" i="16"/>
  <c r="N7" i="16"/>
  <c r="O11" i="16"/>
  <c r="O4" i="28"/>
  <c r="O3" i="28"/>
  <c r="N8" i="28"/>
  <c r="N26" i="9"/>
  <c r="N7" i="9"/>
  <c r="N23" i="9"/>
  <c r="N7" i="8"/>
  <c r="N16" i="8" s="1"/>
  <c r="N36" i="8"/>
  <c r="N39" i="8"/>
  <c r="N3" i="7"/>
  <c r="M21" i="7"/>
  <c r="M8" i="7"/>
  <c r="M24" i="7"/>
  <c r="Q4" i="24"/>
  <c r="Q3" i="24"/>
  <c r="P8" i="24"/>
  <c r="Q4" i="22"/>
  <c r="M19" i="10"/>
  <c r="M7" i="10"/>
  <c r="N3" i="10"/>
  <c r="M22" i="10"/>
  <c r="M23" i="12"/>
  <c r="N3" i="12"/>
  <c r="M20" i="12"/>
  <c r="M7" i="12"/>
  <c r="N3" i="13"/>
  <c r="N7" i="13"/>
  <c r="N7" i="1"/>
  <c r="N24" i="1"/>
  <c r="N21" i="1"/>
  <c r="N16" i="11"/>
  <c r="N7" i="11"/>
  <c r="N19" i="11"/>
  <c r="M19" i="27"/>
  <c r="M8" i="27"/>
  <c r="M23" i="27"/>
  <c r="N3" i="27"/>
  <c r="N3" i="22"/>
  <c r="M8" i="22"/>
  <c r="N8" i="22" l="1"/>
  <c r="O3" i="22"/>
  <c r="N19" i="27"/>
  <c r="N8" i="27"/>
  <c r="N23" i="27"/>
  <c r="Q8" i="24"/>
  <c r="R4" i="24"/>
  <c r="R3" i="24"/>
  <c r="N20" i="12"/>
  <c r="N7" i="12"/>
  <c r="N23" i="12"/>
  <c r="N19" i="10"/>
  <c r="N7" i="10"/>
  <c r="N22" i="10"/>
  <c r="P4" i="28"/>
  <c r="P3" i="28"/>
  <c r="O8" i="28"/>
  <c r="N21" i="7"/>
  <c r="N8" i="7"/>
  <c r="N24" i="7"/>
  <c r="R4" i="22"/>
  <c r="S4" i="22" l="1"/>
  <c r="S4" i="24"/>
  <c r="R8" i="24"/>
  <c r="S3" i="24"/>
  <c r="P8" i="28"/>
  <c r="Q4" i="28"/>
  <c r="Q3" i="28"/>
  <c r="P3" i="22"/>
  <c r="O8" i="22"/>
  <c r="R4" i="28" l="1"/>
  <c r="R3" i="28"/>
  <c r="Q8" i="28"/>
  <c r="T4" i="24"/>
  <c r="T3" i="24"/>
  <c r="S8" i="24"/>
  <c r="P8" i="22"/>
  <c r="Q3" i="22"/>
  <c r="T4" i="22"/>
  <c r="U4" i="22" l="1"/>
  <c r="U4" i="24"/>
  <c r="U3" i="24"/>
  <c r="T8" i="24"/>
  <c r="R3" i="22"/>
  <c r="Q8" i="22"/>
  <c r="S4" i="28"/>
  <c r="S3" i="28"/>
  <c r="R8" i="28"/>
  <c r="V4" i="24" l="1"/>
  <c r="U8" i="24"/>
  <c r="V3" i="24"/>
  <c r="S3" i="22"/>
  <c r="R8" i="22"/>
  <c r="V4" i="22"/>
  <c r="S8" i="28"/>
  <c r="T4" i="28"/>
  <c r="T3" i="28"/>
  <c r="U3" i="28" l="1"/>
  <c r="U4" i="28"/>
  <c r="T8" i="28"/>
  <c r="W4" i="22"/>
  <c r="S8" i="22"/>
  <c r="T3" i="22"/>
  <c r="W4" i="24"/>
  <c r="W3" i="24"/>
  <c r="V8" i="24"/>
  <c r="X4" i="22" l="1"/>
  <c r="X4" i="24"/>
  <c r="W8" i="24"/>
  <c r="X3" i="24"/>
  <c r="T8" i="22"/>
  <c r="U3" i="22"/>
  <c r="V4" i="28"/>
  <c r="V3" i="28"/>
  <c r="U8" i="28"/>
  <c r="Y4" i="24" l="1"/>
  <c r="Y3" i="24"/>
  <c r="X8" i="24"/>
  <c r="U8" i="22"/>
  <c r="V3" i="22"/>
  <c r="V8" i="28"/>
  <c r="W3" i="28"/>
  <c r="W4" i="28"/>
  <c r="Y4" i="22"/>
  <c r="Z4" i="24" l="1"/>
  <c r="Z3" i="24"/>
  <c r="Y8" i="24"/>
  <c r="Z4" i="22"/>
  <c r="V8" i="22"/>
  <c r="W3" i="22"/>
  <c r="W8" i="28"/>
  <c r="X3" i="28"/>
  <c r="X4" i="28"/>
  <c r="Y4" i="28" l="1"/>
  <c r="Y3" i="28"/>
  <c r="X8" i="28"/>
  <c r="AA4" i="22"/>
  <c r="X3" i="22"/>
  <c r="W8" i="22"/>
  <c r="AA4" i="24"/>
  <c r="AA3" i="24"/>
  <c r="Z8" i="24"/>
  <c r="AA8" i="24" l="1"/>
  <c r="AB4" i="24"/>
  <c r="AB3" i="24"/>
  <c r="Y3" i="22"/>
  <c r="X8" i="22"/>
  <c r="AB4" i="22"/>
  <c r="Y8" i="28"/>
  <c r="Z3" i="28"/>
  <c r="Z4" i="28"/>
  <c r="AC4" i="22" l="1"/>
  <c r="Z3" i="22"/>
  <c r="Y8" i="22"/>
  <c r="AA4" i="28"/>
  <c r="AA3" i="28"/>
  <c r="Z8" i="28"/>
  <c r="AC4" i="24"/>
  <c r="AC3" i="24"/>
  <c r="AB8" i="24"/>
  <c r="AC8" i="24" l="1"/>
  <c r="AD4" i="24"/>
  <c r="AD3" i="24"/>
  <c r="AB4" i="28"/>
  <c r="AB3" i="28"/>
  <c r="AA8" i="28"/>
  <c r="Z8" i="22"/>
  <c r="AA3" i="22"/>
  <c r="AD4" i="22"/>
  <c r="AE4" i="22" l="1"/>
  <c r="AB8" i="28"/>
  <c r="AC4" i="28"/>
  <c r="AC3" i="28"/>
  <c r="AA8" i="22"/>
  <c r="AB3" i="22"/>
  <c r="AD8" i="24"/>
  <c r="AE3" i="24"/>
  <c r="AE4" i="24"/>
  <c r="AE8" i="24" s="1"/>
  <c r="AB8" i="22" l="1"/>
  <c r="AC3" i="22"/>
  <c r="AC8" i="28"/>
  <c r="AD4" i="28"/>
  <c r="AD3" i="28"/>
  <c r="AF4" i="22"/>
  <c r="AG4" i="22" l="1"/>
  <c r="AE4" i="28"/>
  <c r="AE8" i="28" s="1"/>
  <c r="AE3" i="28"/>
  <c r="AD8" i="28"/>
  <c r="AD3" i="22"/>
  <c r="AC8" i="22"/>
  <c r="AD8" i="22" l="1"/>
  <c r="AE3" i="22"/>
  <c r="AF3" i="22" l="1"/>
  <c r="AE8" i="22"/>
  <c r="AG3" i="22" l="1"/>
  <c r="AG8" i="22" s="1"/>
  <c r="AF8" i="22"/>
</calcChain>
</file>

<file path=xl/sharedStrings.xml><?xml version="1.0" encoding="utf-8"?>
<sst xmlns="http://schemas.openxmlformats.org/spreadsheetml/2006/main" count="2056" uniqueCount="363">
  <si>
    <t xml:space="preserve"> </t>
  </si>
  <si>
    <t>unit</t>
  </si>
  <si>
    <t>Production</t>
  </si>
  <si>
    <t>– mine</t>
  </si>
  <si>
    <t>kt</t>
  </si>
  <si>
    <t>– refined</t>
  </si>
  <si>
    <t>Consumption</t>
  </si>
  <si>
    <t>Price</t>
  </si>
  <si>
    <t>– nominal</t>
  </si>
  <si>
    <t>US$/t</t>
  </si>
  <si>
    <t>USc/lb</t>
  </si>
  <si>
    <t>Mine output</t>
  </si>
  <si>
    <t>Refined output</t>
  </si>
  <si>
    <t>Exports</t>
  </si>
  <si>
    <t>– total metallic content</t>
  </si>
  <si>
    <t>Total value</t>
  </si>
  <si>
    <t>A$m</t>
  </si>
  <si>
    <t xml:space="preserve">World </t>
  </si>
  <si>
    <t xml:space="preserve">Closing stocks </t>
  </si>
  <si>
    <t xml:space="preserve">Stocks  </t>
  </si>
  <si>
    <t>Price LME</t>
  </si>
  <si>
    <t>Usc/lb</t>
  </si>
  <si>
    <t>Australia</t>
  </si>
  <si>
    <t>– intermediate</t>
  </si>
  <si>
    <t>Export value</t>
  </si>
  <si>
    <t xml:space="preserve">Production </t>
  </si>
  <si>
    <t xml:space="preserve">Refined output </t>
  </si>
  <si>
    <t xml:space="preserve">Exports </t>
  </si>
  <si>
    <t xml:space="preserve">Australia </t>
  </si>
  <si>
    <t xml:space="preserve">Mine output </t>
  </si>
  <si>
    <t>World</t>
  </si>
  <si>
    <t>Primary aluminium</t>
  </si>
  <si>
    <t>Prices</t>
  </si>
  <si>
    <t>Alumina</t>
  </si>
  <si>
    <t>Bauxite</t>
  </si>
  <si>
    <t>Mt</t>
  </si>
  <si>
    <t>t</t>
  </si>
  <si>
    <t>Mine production</t>
  </si>
  <si>
    <t>US$/oz</t>
  </si>
  <si>
    <t>Export volume</t>
  </si>
  <si>
    <t>A$/oz</t>
  </si>
  <si>
    <t xml:space="preserve"> – nominal</t>
  </si>
  <si>
    <t>Iron ore</t>
  </si>
  <si>
    <t>Metallurgical coal</t>
  </si>
  <si>
    <t xml:space="preserve">Consumption </t>
  </si>
  <si>
    <t>US$/lb</t>
  </si>
  <si>
    <t>– nominal value</t>
  </si>
  <si>
    <t>Average price</t>
  </si>
  <si>
    <t>A$/kg</t>
  </si>
  <si>
    <t>Coal trade</t>
  </si>
  <si>
    <t>Imports</t>
  </si>
  <si>
    <t>Asia</t>
  </si>
  <si>
    <t>China</t>
  </si>
  <si>
    <t>Chinese Taipei</t>
  </si>
  <si>
    <t>India</t>
  </si>
  <si>
    <t>Japan</t>
  </si>
  <si>
    <t>Europe</t>
  </si>
  <si>
    <t>United States</t>
  </si>
  <si>
    <t>US$/bbl</t>
  </si>
  <si>
    <t>Brent crude oil price</t>
  </si>
  <si>
    <t>Crude oil and condensate</t>
  </si>
  <si>
    <t>LPG</t>
  </si>
  <si>
    <t>Petroleum products</t>
  </si>
  <si>
    <t>%</t>
  </si>
  <si>
    <t>Germany</t>
  </si>
  <si>
    <t>France</t>
  </si>
  <si>
    <t>United Kingdom</t>
  </si>
  <si>
    <t>New Zealand</t>
  </si>
  <si>
    <t>Latin America</t>
  </si>
  <si>
    <t>Middle East</t>
  </si>
  <si>
    <t>Uranium</t>
  </si>
  <si>
    <t>Thermal coal</t>
  </si>
  <si>
    <t>Gas</t>
  </si>
  <si>
    <t>Oil</t>
  </si>
  <si>
    <t>Copper</t>
  </si>
  <si>
    <t>Aluminium</t>
  </si>
  <si>
    <t>Gold</t>
  </si>
  <si>
    <t>Steel-making</t>
  </si>
  <si>
    <t>Australia macro</t>
  </si>
  <si>
    <t>World macro</t>
  </si>
  <si>
    <t>Zinc</t>
  </si>
  <si>
    <t>Nickel</t>
  </si>
  <si>
    <t>South Korea</t>
  </si>
  <si>
    <t>other Europe</t>
  </si>
  <si>
    <t>Colombia</t>
  </si>
  <si>
    <t>Indonesia</t>
  </si>
  <si>
    <t>Russia</t>
  </si>
  <si>
    <t>South Africa</t>
  </si>
  <si>
    <t>Canada</t>
  </si>
  <si>
    <t>Kazakhstan</t>
  </si>
  <si>
    <t>Alumina spot</t>
  </si>
  <si>
    <t>LNG</t>
  </si>
  <si>
    <t>Volume</t>
  </si>
  <si>
    <t>WTI crude oil price</t>
  </si>
  <si>
    <t>Resources and energy</t>
  </si>
  <si>
    <t>Energy</t>
  </si>
  <si>
    <t>US$/A$</t>
  </si>
  <si>
    <t>Value of exports</t>
  </si>
  <si>
    <t>Commodity sector</t>
  </si>
  <si>
    <t>Resources</t>
  </si>
  <si>
    <t>Crude steel consumption</t>
  </si>
  <si>
    <t>Brazil</t>
  </si>
  <si>
    <t>World steel consumption</t>
  </si>
  <si>
    <t>Crude steel production</t>
  </si>
  <si>
    <t>World steel production</t>
  </si>
  <si>
    <t>Iron ore imports</t>
  </si>
  <si>
    <t>Iron ore exports</t>
  </si>
  <si>
    <t>World trade</t>
  </si>
  <si>
    <t>Metallurgical coal imports</t>
  </si>
  <si>
    <t>Metallurgical coal exports</t>
  </si>
  <si>
    <t>kbd</t>
  </si>
  <si>
    <t>– weeks of consumption</t>
  </si>
  <si>
    <t>– Eastern market</t>
  </si>
  <si>
    <t>– Western market</t>
  </si>
  <si>
    <t>Steel-making - steel</t>
  </si>
  <si>
    <t>Steel-making - iron ore</t>
  </si>
  <si>
    <t>Emerging economies</t>
  </si>
  <si>
    <t>CAGR</t>
  </si>
  <si>
    <t>Office of the Chief Economist Logo</t>
  </si>
  <si>
    <t>Notes:</t>
  </si>
  <si>
    <t>China  e</t>
  </si>
  <si>
    <t>World  c</t>
  </si>
  <si>
    <t>Inflation rate  b</t>
  </si>
  <si>
    <t>Contract prices  b</t>
  </si>
  <si>
    <t>– real  c</t>
  </si>
  <si>
    <t>– real value  d</t>
  </si>
  <si>
    <t>– real  b</t>
  </si>
  <si>
    <t>Africa  b</t>
  </si>
  <si>
    <t>– real  d</t>
  </si>
  <si>
    <t>– real value  h</t>
  </si>
  <si>
    <t>Price  c</t>
  </si>
  <si>
    <t>– real value  e</t>
  </si>
  <si>
    <t>– real  e</t>
  </si>
  <si>
    <t>World aluminium  c</t>
  </si>
  <si>
    <t>– ores and conc.  c</t>
  </si>
  <si>
    <r>
      <t>Australia</t>
    </r>
    <r>
      <rPr>
        <b/>
        <i/>
        <sz val="11"/>
        <rFont val="Arial"/>
        <family val="2"/>
      </rPr>
      <t xml:space="preserve"> </t>
    </r>
  </si>
  <si>
    <t>Steel-making - metallurgical coal</t>
  </si>
  <si>
    <t>LNG export unit value g</t>
  </si>
  <si>
    <t>US$/MMBtu</t>
  </si>
  <si>
    <t>Advanced economies</t>
  </si>
  <si>
    <t>Emerging Asia</t>
  </si>
  <si>
    <t>A$/GJ</t>
  </si>
  <si>
    <t>Value b</t>
  </si>
  <si>
    <t>Production  a</t>
  </si>
  <si>
    <t>Consumption  a</t>
  </si>
  <si>
    <t>Export volume  a</t>
  </si>
  <si>
    <t>Imports  a</t>
  </si>
  <si>
    <t>Refinery production  a</t>
  </si>
  <si>
    <t>Exports  ae</t>
  </si>
  <si>
    <t>mb/d</t>
  </si>
  <si>
    <t>kb/d</t>
  </si>
  <si>
    <t>Total demand</t>
  </si>
  <si>
    <t>Nominal</t>
  </si>
  <si>
    <t>Crude oil (WTI)</t>
  </si>
  <si>
    <t>Crude oil (Brent)</t>
  </si>
  <si>
    <t>Economic growth  b</t>
  </si>
  <si>
    <t>$m</t>
  </si>
  <si>
    <t xml:space="preserve">Alumina </t>
  </si>
  <si>
    <t xml:space="preserve">Aluminium </t>
  </si>
  <si>
    <t xml:space="preserve">Nickel </t>
  </si>
  <si>
    <t xml:space="preserve">Bauxite </t>
  </si>
  <si>
    <t>Crude oil</t>
  </si>
  <si>
    <t xml:space="preserve">Uranium </t>
  </si>
  <si>
    <t>nominal</t>
  </si>
  <si>
    <t>Total resources</t>
  </si>
  <si>
    <t>Total energy</t>
  </si>
  <si>
    <t>Total resources and energy</t>
  </si>
  <si>
    <t>Other energy</t>
  </si>
  <si>
    <t>Spot prices, nominal quarterly average</t>
  </si>
  <si>
    <t>Australia's export values, nominal quarterly</t>
  </si>
  <si>
    <t>Spot prices d</t>
  </si>
  <si>
    <t>real  e</t>
  </si>
  <si>
    <t>Selected exports</t>
  </si>
  <si>
    <t>Alumina fob Australia</t>
  </si>
  <si>
    <t>Aluminium LME cash</t>
  </si>
  <si>
    <t>Copper LME cash</t>
  </si>
  <si>
    <t>Gold LBMA PM</t>
  </si>
  <si>
    <t>Iron ore fob Australia  a</t>
  </si>
  <si>
    <t>Nickel LME cash</t>
  </si>
  <si>
    <t>Zinc LME cash</t>
  </si>
  <si>
    <t>LNG fob  b</t>
  </si>
  <si>
    <t>Metallurgical coal  c</t>
  </si>
  <si>
    <t>Thermal coal fob Newcastle 6000 kc</t>
  </si>
  <si>
    <t>Uranium  d</t>
  </si>
  <si>
    <t>CAGR r</t>
  </si>
  <si>
    <t>Unit</t>
  </si>
  <si>
    <t>JCC oil price  a</t>
  </si>
  <si>
    <t>– real  h</t>
  </si>
  <si>
    <t>Crude oil (Japan Customs Cleared)</t>
  </si>
  <si>
    <t>Lithium</t>
  </si>
  <si>
    <t>Mozambique</t>
  </si>
  <si>
    <t>Mongolia</t>
  </si>
  <si>
    <t>CAGR is compound annual growth rate, in percentage terms.</t>
  </si>
  <si>
    <t>Australia's export volumes, quarterly</t>
  </si>
  <si>
    <t>ML</t>
  </si>
  <si>
    <t>US$/MMbtu</t>
  </si>
  <si>
    <t>Demand  b</t>
  </si>
  <si>
    <t>– mine  c</t>
  </si>
  <si>
    <t>Export volume  d</t>
  </si>
  <si>
    <t xml:space="preserve">– nominal value  </t>
  </si>
  <si>
    <t>Back to Table of Contents</t>
  </si>
  <si>
    <t>Ownership of intellectual property rights</t>
  </si>
  <si>
    <t>Unless otherwise noted, copyright (and any other intellectual property rights, if any) in this publication is owned by the Commonwealth of Australia.</t>
  </si>
  <si>
    <t>Creative Commons licence</t>
  </si>
  <si>
    <t>All material in this publication is licensed under a Creative Commons Attribution 4.0</t>
  </si>
  <si>
    <t>International Licence, with the exception of:</t>
  </si>
  <si>
    <t>• the Commonwealth Coat of Arms;</t>
  </si>
  <si>
    <t>• content supplied by third parties;</t>
  </si>
  <si>
    <t>• logos; and</t>
  </si>
  <si>
    <t>• any material protected by trademark or otherwise noted in this publication.</t>
  </si>
  <si>
    <t>Creative Commons Attribution 4.0 International Licence is a standard form licence agreement that allows you to copy, distribute, transmit and adapt this publication provided you attribute the work. A summary of the licence terms is available from https://creativecommons.org/licenses/by/4.0/.</t>
  </si>
  <si>
    <t>Wherever a third party holds copyright in material contained in this publication, the copyright remains with that party. Their permission may be required to use the material. Please contact them directly.</t>
  </si>
  <si>
    <t>Attribution</t>
  </si>
  <si>
    <t>Content contained herein should be attributed as follows:</t>
  </si>
  <si>
    <t>The Commonwealth of Australia does not necessarily endorse the content of this publication.</t>
  </si>
  <si>
    <r>
      <t xml:space="preserve">Requests and inquiries concerning reproduction and rights should be addressed to </t>
    </r>
    <r>
      <rPr>
        <b/>
        <sz val="11"/>
        <color theme="1"/>
        <rFont val="Myriad pro"/>
      </rPr>
      <t>REQ@industry.gov.au</t>
    </r>
  </si>
  <si>
    <t>Disclaimer</t>
  </si>
  <si>
    <t>European Union</t>
  </si>
  <si>
    <t>ASEAN-5  d</t>
  </si>
  <si>
    <t>Interest rate  d</t>
  </si>
  <si>
    <t>Exchange rate  e</t>
  </si>
  <si>
    <r>
      <t xml:space="preserve">Gold </t>
    </r>
    <r>
      <rPr>
        <b/>
        <sz val="11"/>
        <rFont val="Arial"/>
        <family val="2"/>
      </rPr>
      <t>a</t>
    </r>
  </si>
  <si>
    <r>
      <t xml:space="preserve">Copper </t>
    </r>
    <r>
      <rPr>
        <b/>
        <sz val="11"/>
        <rFont val="Arial"/>
        <family val="2"/>
      </rPr>
      <t>b</t>
    </r>
  </si>
  <si>
    <r>
      <t xml:space="preserve">Zinc  </t>
    </r>
    <r>
      <rPr>
        <b/>
        <sz val="11"/>
        <rFont val="Arial"/>
        <family val="2"/>
      </rPr>
      <t>b</t>
    </r>
  </si>
  <si>
    <r>
      <t xml:space="preserve">Nickel </t>
    </r>
    <r>
      <rPr>
        <b/>
        <sz val="11"/>
        <rFont val="Arial"/>
        <family val="2"/>
      </rPr>
      <t>b</t>
    </r>
  </si>
  <si>
    <t>Other resources  a</t>
  </si>
  <si>
    <t>Prices  a</t>
  </si>
  <si>
    <t xml:space="preserve">Iron ore  </t>
  </si>
  <si>
    <t>Metallurgical coal contract c</t>
  </si>
  <si>
    <t xml:space="preserve"> – real  b</t>
  </si>
  <si>
    <t>Metallurgical coal spot  d</t>
  </si>
  <si>
    <t>Iron and steel  e</t>
  </si>
  <si>
    <t>Iron and steel e</t>
  </si>
  <si>
    <t>– real value  g</t>
  </si>
  <si>
    <t>Taiwan</t>
  </si>
  <si>
    <t xml:space="preserve">European Union </t>
  </si>
  <si>
    <t>Production  ac</t>
  </si>
  <si>
    <t>Production  acd</t>
  </si>
  <si>
    <t>Consumption  acg</t>
  </si>
  <si>
    <t>Asian LNG spot price  bg</t>
  </si>
  <si>
    <t xml:space="preserve">LNG trade  </t>
  </si>
  <si>
    <t xml:space="preserve">Gas production   </t>
  </si>
  <si>
    <t xml:space="preserve">Gas consumption   </t>
  </si>
  <si>
    <t>Production  d</t>
  </si>
  <si>
    <t>– Northern market   k</t>
  </si>
  <si>
    <t xml:space="preserve">LNG export volume  </t>
  </si>
  <si>
    <t>Mt  c</t>
  </si>
  <si>
    <t>Spot price - nominal</t>
  </si>
  <si>
    <t>Spot price - real  c</t>
  </si>
  <si>
    <t>– real  a</t>
  </si>
  <si>
    <t>– ore and conc.  B</t>
  </si>
  <si>
    <t>Spodumene price</t>
  </si>
  <si>
    <t>Lithium hydroxide price</t>
  </si>
  <si>
    <t>Contents</t>
  </si>
  <si>
    <t>b</t>
  </si>
  <si>
    <t>c</t>
  </si>
  <si>
    <t>d</t>
  </si>
  <si>
    <t>e</t>
  </si>
  <si>
    <t>g</t>
  </si>
  <si>
    <t>h</t>
  </si>
  <si>
    <t>f</t>
  </si>
  <si>
    <t>r</t>
  </si>
  <si>
    <t>z</t>
  </si>
  <si>
    <t>Japanese Fiscal Year (JFY), starting April 1, fob Australia basis. Australia–Japan average contract price assessment for steaming coal with a calorific value of 6700 kcal/kg gross air dried.</t>
  </si>
  <si>
    <t>In current JFY US dollars.</t>
  </si>
  <si>
    <t>fob Newcastle 6000Kcal</t>
  </si>
  <si>
    <t>Includes lignite</t>
  </si>
  <si>
    <t xml:space="preserve">In current financial year Australian dollars. </t>
  </si>
  <si>
    <t xml:space="preserve">forecast. </t>
  </si>
  <si>
    <t>a</t>
  </si>
  <si>
    <t xml:space="preserve">assumption. </t>
  </si>
  <si>
    <t>Change from previous period.</t>
  </si>
  <si>
    <t>Weighted using purchasing power parity (PPP) valuation of country gross domestic product by IMF</t>
  </si>
  <si>
    <t>Indonesia, Malaysia, the Philippines, Thailand and Vietnam.</t>
  </si>
  <si>
    <t xml:space="preserve">Excludes Hong Kong. </t>
  </si>
  <si>
    <t>assumption.</t>
  </si>
  <si>
    <t>Median RBA cash rate. Future forecast is not available.</t>
  </si>
  <si>
    <t>Average of daily rates.</t>
  </si>
  <si>
    <t>In current financial year Australian dollars.</t>
  </si>
  <si>
    <t>fob</t>
  </si>
  <si>
    <t>kc</t>
  </si>
  <si>
    <t>free-on-board</t>
  </si>
  <si>
    <t>calorific content</t>
  </si>
  <si>
    <t>At 62 per cent iron content estimated netback from Western Australia to Qingdao China</t>
  </si>
  <si>
    <t>Australia's export unit values</t>
  </si>
  <si>
    <t>Premium hard coking coal fob East Coast Australia</t>
  </si>
  <si>
    <t xml:space="preserve">Average of weekly restricted spot price published by The Ux Consulting Company
</t>
  </si>
  <si>
    <t>Includes lithium income from spodumene</t>
  </si>
  <si>
    <t>fob Australian basis c Spot price, 62% iron content basis.</t>
  </si>
  <si>
    <t>Contract price assessment for high-quality hard coking coal.</t>
  </si>
  <si>
    <t>Hard coking coal fob Australia east coast ports</t>
  </si>
  <si>
    <t>Crude steel equivalent. Crude steel is defined as the first solid state of production after melting. In ABS Australian Harmonized Export Commodity Classification, crude steel equivalent includes most items from 7206 to 7307, excluding ferrous waste and scrap and ferroalloys.</t>
  </si>
  <si>
    <t>Number of days in a year is assumed to be exactly 365. A barrel of oil equals 158.987 litres.</t>
  </si>
  <si>
    <t>Historical production data was revised in the December quarter 2021 to align with Australian Petroleum Statistics</t>
  </si>
  <si>
    <t>Primary products sold as LPG.</t>
  </si>
  <si>
    <t>Excludes LPG.</t>
  </si>
  <si>
    <t>Forecast.</t>
  </si>
  <si>
    <t>Domestic sales of marketable products.</t>
  </si>
  <si>
    <t>Projection.</t>
  </si>
  <si>
    <t>k</t>
  </si>
  <si>
    <t>JCC stands for Japan Customs-cleared Crude.</t>
  </si>
  <si>
    <t>Historical data is the North Asia SLlnG weekly spot price</t>
  </si>
  <si>
    <t>1 million tonnes of LNG is equivalent to approximately 1.36 billion cubic metres of gas.</t>
  </si>
  <si>
    <t>Production includes both sales gas and gas used in the production process (i.e. plant use) as well as ethane. Historical gas production data was revised in the June quarter 2017 to align with Australian Petroleum Statistics.</t>
  </si>
  <si>
    <t>1 MMBtu is equivalent to 1.055 GJ.</t>
  </si>
  <si>
    <t>Gas production from Bayu-Undan Joint Production Development Area is not included in Australian production. Browse basin production associated with the Ichthys project is classified as Northern market.</t>
  </si>
  <si>
    <t>Includes Niger, Namibia, South Africa, Malawi and Zambia.</t>
  </si>
  <si>
    <t>London Bullion Market Association (LBMA) price.</t>
  </si>
  <si>
    <t>LME cash prices for primary aluminium.</t>
  </si>
  <si>
    <t>Quantities refer to gross weight of all ores and concentrates.</t>
  </si>
  <si>
    <t>Nickel content of domestic mine production.</t>
  </si>
  <si>
    <t>Includes metal content of ores and concentrates, intermediate products and nickel metal.</t>
  </si>
  <si>
    <t>Forecast</t>
  </si>
  <si>
    <t>Export volume contains ash, waste and scrap gold, of which gold content is unknown.</t>
  </si>
  <si>
    <t>Total metallic content</t>
  </si>
  <si>
    <t>Sources: IMF World Economics Outlook; Department of Industry, Science and Resources.</t>
  </si>
  <si>
    <t>Sources: ABS Consumer Price Index, 6401.0; RBA Reserve Bank of Australia Bulletin; Department of Industry, Science and Resources.</t>
  </si>
  <si>
    <t>Sources: ABS International Trade in Goods and Services, Australia, Cat. No. 5368.0; Department of Industry, Science and Resources.</t>
  </si>
  <si>
    <t>Sources:  ABS International Trade in Goods and Services, Australia, Cat. No. 5368.0; London Metal Exchange; London Bullion Market Association; The Ux Consulting Company; US Department of Energy; Metal Bulletin; Japan Ministry of Economy, Trade and Industry; Department of Industry, Science, Enegy and Resources.</t>
  </si>
  <si>
    <t>Sources: ABS International Trade in Goods and Services, Australia, Cat. No. 5368.0; AME; Company reports; Department of Industry, Science and Resources</t>
  </si>
  <si>
    <t>Sources: ABS; International Trade in Goods and Services, Australia, Cat. No. 5368.0; Department of Industry, Science and Resources.</t>
  </si>
  <si>
    <t>Sources: ABS International Trade in Goods and Services, Australia, Cat. No. 5368.0; World Steel Association; Bloomberg Steel Business Briefing; AME; Company Reports; IHS; Department of Industry, Science and Resources.</t>
  </si>
  <si>
    <t>Sources: World Steel Association; Department of Industry, Science and Resources</t>
  </si>
  <si>
    <t>Sources: Bloomberg, World Steel Association, Department of Industry, Science and Resources</t>
  </si>
  <si>
    <t>Sources: IHS; Department of Industry, Science and Resources</t>
  </si>
  <si>
    <t>Sources: ABS International Trade in Goods and Services, Australia, Cat. No. 5368.0; IHS Inc ; IEA Coal Information; NSW Coal Services Pty Ltd; Queensland Department of Natural Resources and Mines; Company Reports; Department of Industry, Science and Resources.</t>
  </si>
  <si>
    <t>Sources: ABS International Trade in Goods and Services, Australia, Cat. No. 5368.0; Department of Industry, Science and Resources; IEA Monthly Oil Market Report.</t>
  </si>
  <si>
    <t>Sources: ABS International Trade in Goods and Services, Australia, Cat. No. 5368.0; Company reports; Department of Industry, Science and Resources; Nexant World Gas Model.</t>
  </si>
  <si>
    <t>Sources: Australian Department of Industry, Science, Energy ; Cameco Corporation; Ux Consulting Uranium Market Outlook.</t>
  </si>
  <si>
    <t>Sources: ABS International Trade in Goods and Services, Australia, Cat. No. 5368.0; London Bullion Market Association gold price PM; World Gold Council; Department of Industry, Science and Resources.</t>
  </si>
  <si>
    <t>Sources: ABS International Trade in Goods and Services, Australia, Cat. No. 5368.0; AME Group; LME; Department of Industry, Science and Resources; World Bureau of Metal Statistics.</t>
  </si>
  <si>
    <t>Sources: ABS International Trade in Goods and Services, Australia, Cat. No. 5368.0; LME spot price; World Bureau of Metal Statistics World Metal Statistics; Department of Industry, Science and Resources.</t>
  </si>
  <si>
    <t>Sources: ABS International Trade in Goods and Services, Australia, Cat. No. 5368.0; Company reports; Department of Industry, Science and Resources; International Nickel Study Group; LME; World Bureau of Metal Statistics.</t>
  </si>
  <si>
    <t>Sources: ABS International Trade in Goods and Services, Australia, Cat. No. 5368.0; Company reports; Department of Industry, Science and Resources; International Lead Zinc Study Group; LME; World Bureau of Metal Statistics.</t>
  </si>
  <si>
    <t>Includes jewellery consumption and industrial applications.</t>
  </si>
  <si>
    <r>
      <t xml:space="preserve">Fabrication consumption </t>
    </r>
    <r>
      <rPr>
        <b/>
        <sz val="11"/>
        <rFont val="Arial"/>
        <family val="2"/>
      </rPr>
      <t>b</t>
    </r>
  </si>
  <si>
    <t>In current calendar year US dollars</t>
  </si>
  <si>
    <t>bcm</t>
  </si>
  <si>
    <t>– Mine (spodumene)</t>
  </si>
  <si>
    <r>
      <t xml:space="preserve">LCE kt </t>
    </r>
    <r>
      <rPr>
        <b/>
        <sz val="11"/>
        <rFont val="Arial"/>
        <family val="2"/>
      </rPr>
      <t>a</t>
    </r>
  </si>
  <si>
    <r>
      <t xml:space="preserve">– Ore and concentrate (spodumene)  </t>
    </r>
    <r>
      <rPr>
        <b/>
        <sz val="11"/>
        <rFont val="Arial"/>
        <family val="2"/>
      </rPr>
      <t>d</t>
    </r>
  </si>
  <si>
    <t>– Refined (lithium hydroxide)</t>
  </si>
  <si>
    <r>
      <t xml:space="preserve">– Total (nominal value)  </t>
    </r>
    <r>
      <rPr>
        <b/>
        <sz val="11"/>
        <rFont val="Arial"/>
        <family val="2"/>
      </rPr>
      <t>d g</t>
    </r>
  </si>
  <si>
    <r>
      <t xml:space="preserve">– Total (real value)  </t>
    </r>
    <r>
      <rPr>
        <b/>
        <sz val="11"/>
        <rFont val="Arial"/>
        <family val="2"/>
      </rPr>
      <t>d g</t>
    </r>
    <r>
      <rPr>
        <sz val="11"/>
        <rFont val="Arial"/>
        <family val="2"/>
      </rPr>
      <t xml:space="preserve"> </t>
    </r>
    <r>
      <rPr>
        <b/>
        <sz val="11"/>
        <rFont val="Arial"/>
        <family val="2"/>
      </rPr>
      <t>h</t>
    </r>
  </si>
  <si>
    <r>
      <t>a</t>
    </r>
    <r>
      <rPr>
        <sz val="11"/>
        <rFont val="Arial"/>
        <family val="2"/>
      </rPr>
      <t xml:space="preserve"> Lithium carbonate equivalent: this is a measure of the quantity of refined product.</t>
    </r>
  </si>
  <si>
    <r>
      <t xml:space="preserve">b </t>
    </r>
    <r>
      <rPr>
        <sz val="11"/>
        <rFont val="Arial"/>
        <family val="2"/>
      </rPr>
      <t>Refined lithium products include lithium hydroxide and lithium carbonate.</t>
    </r>
  </si>
  <si>
    <r>
      <t xml:space="preserve">c </t>
    </r>
    <r>
      <rPr>
        <sz val="11"/>
        <rFont val="Arial"/>
        <family val="2"/>
      </rPr>
      <t>In current calendar year US dollars.</t>
    </r>
  </si>
  <si>
    <r>
      <t xml:space="preserve">d </t>
    </r>
    <r>
      <rPr>
        <sz val="11"/>
        <rFont val="Arial"/>
        <family val="2"/>
      </rPr>
      <t>Prior to January 2021, ABS reported spodumene exports value and volume data was confidentialised. Data over this period instead sourced from the Western Australia Department of Mines</t>
    </r>
    <r>
      <rPr>
        <b/>
        <sz val="11"/>
        <rFont val="Arial"/>
        <family val="2"/>
      </rPr>
      <t>.</t>
    </r>
  </si>
  <si>
    <r>
      <t>f</t>
    </r>
    <r>
      <rPr>
        <sz val="11"/>
        <rFont val="Arial"/>
        <family val="2"/>
      </rPr>
      <t xml:space="preserve"> Forecast.</t>
    </r>
  </si>
  <si>
    <r>
      <t xml:space="preserve">g </t>
    </r>
    <r>
      <rPr>
        <sz val="11"/>
        <rFont val="Arial"/>
        <family val="2"/>
      </rPr>
      <t>Revenue from spodumene concentrate, lithium hydroxide and other lithium products</t>
    </r>
    <r>
      <rPr>
        <b/>
        <sz val="11"/>
        <rFont val="Arial"/>
        <family val="2"/>
      </rPr>
      <t>.</t>
    </r>
  </si>
  <si>
    <r>
      <t>h</t>
    </r>
    <r>
      <rPr>
        <sz val="11"/>
        <rFont val="Arial"/>
        <family val="2"/>
      </rPr>
      <t xml:space="preserve"> In current financial year Australian dollars.</t>
    </r>
  </si>
  <si>
    <r>
      <rPr>
        <b/>
        <sz val="11"/>
        <rFont val="Arial"/>
        <family val="2"/>
      </rPr>
      <t>s</t>
    </r>
    <r>
      <rPr>
        <sz val="11"/>
        <rFont val="Arial"/>
        <family val="2"/>
      </rPr>
      <t xml:space="preserve"> Estimate.</t>
    </r>
  </si>
  <si>
    <t>Sources: ABS International Trade in Goods and Services, Australia, Cat. No. 5368.0; Company reports; Department of Industry, Science and Resources; Wood Mackenzie; Government of Western Australia Department of Mines, Industry Regulation and Safety</t>
  </si>
  <si>
    <t>Department of Industry, Science and Resources, Commonwealth of Australia, Resources and Energy Quarterly, March 2024.</t>
  </si>
  <si>
    <t>Vol. 14, No. 1</t>
  </si>
  <si>
    <t>© Commonwealth of Australia 2024</t>
  </si>
  <si>
    <t xml:space="preserve">The Commonwealth of Australia as represented by the Department of Industry, Science and Resources has exercised due care and skill in preparing and compiling the information and data in this publication. The Commonwealth does not guarantee the accuracy, completeness or reliability of the information and data contained in this publication. Third parties rely upon the information and data contained in this publication entirely at their own risk and the Commonwealth accepts no responsibility or liability for any damage, loss or expense incurred as a result of such reliance. </t>
  </si>
  <si>
    <t>2024/03/18</t>
  </si>
  <si>
    <t/>
  </si>
  <si>
    <t>na</t>
  </si>
  <si>
    <r>
      <t xml:space="preserve">Lithium </t>
    </r>
    <r>
      <rPr>
        <b/>
        <sz val="11"/>
        <rFont val="Arial"/>
        <family val="2"/>
      </rPr>
      <t>c</t>
    </r>
  </si>
  <si>
    <t>Lithium carbonate equivalent: this is a measure of the quantity of refined product.</t>
  </si>
  <si>
    <r>
      <t>Other Asia</t>
    </r>
    <r>
      <rPr>
        <vertAlign val="superscript"/>
        <sz val="11"/>
        <color rgb="FF595A5B"/>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</si>
</sst>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 ##0.0;\–###\ ##0"/>
    <numFmt numFmtId="166" formatCode="0.0%"/>
    <numFmt numFmtId="167" formatCode="0.0;\–0.0;\ 0.0"/>
    <numFmt numFmtId="168" formatCode="###\ ##0;\]\–###\ ##0"/>
    <numFmt numFmtId="169" formatCode="###\ ##0;\–###\ ##0"/>
    <numFmt numFmtId="170" formatCode="#\ ##0;\–###\ ##0"/>
    <numFmt numFmtId="171" formatCode="0.00000000000000"/>
    <numFmt numFmtId="172" formatCode="#\ ##0.0;\–#\ ##0.0;\ 0.0"/>
    <numFmt numFmtId="173" formatCode="#,##0.0"/>
    <numFmt numFmtId="174" formatCode="#\ ##0.00;\–#\ ##0.00;\ 0.00"/>
    <numFmt numFmtId="175" formatCode="0.000%"/>
    <numFmt numFmtId="176" formatCode="0.000"/>
    <numFmt numFmtId="177" formatCode="##\ ##0.00;\–##\ ##0.00;\ 0.000"/>
  </numFmts>
  <fonts count="44">
    <font>
      <sz val="11"/>
      <color theme="1"/>
      <name val="Myriad Pro"/>
      <family val="2"/>
      <scheme val="minor"/>
    </font>
    <font>
      <sz val="11"/>
      <color theme="1"/>
      <name val="Myriad pro"/>
    </font>
    <font>
      <b/>
      <u/>
      <sz val="14"/>
      <color rgb="FF005CAF"/>
      <name val="Myriad Pro"/>
      <scheme val="minor"/>
    </font>
    <font>
      <sz val="9"/>
      <color theme="1"/>
      <name val="Arial"/>
      <family val="2"/>
    </font>
    <font>
      <b/>
      <sz val="11"/>
      <color theme="1"/>
      <name val="Myriad pro"/>
    </font>
    <font>
      <sz val="12"/>
      <color rgb="FF005CAF"/>
      <name val="Myriad pro"/>
    </font>
    <font>
      <b/>
      <sz val="12"/>
      <color rgb="FF005CAF"/>
      <name val="Myriad pro"/>
    </font>
    <font>
      <b/>
      <sz val="14"/>
      <color rgb="FF22789A"/>
      <name val="Myriad Pro"/>
      <scheme val="minor"/>
    </font>
    <font>
      <b/>
      <sz val="14"/>
      <color rgb="FF005CAF"/>
      <name val="Myriad Pro"/>
      <scheme val="minor"/>
    </font>
    <font>
      <b/>
      <sz val="12"/>
      <color rgb="FF005CAF"/>
      <name val="Myriad Pro"/>
      <scheme val="minor"/>
    </font>
    <font>
      <sz val="11"/>
      <color theme="1"/>
      <name val="Myriad Pro"/>
    </font>
    <font>
      <b/>
      <sz val="11"/>
      <color theme="1"/>
      <name val="Arial"/>
      <family val="2"/>
    </font>
    <font>
      <b/>
      <sz val="18"/>
      <color rgb="FF005CAF"/>
      <name val="Arial"/>
      <family val="2"/>
    </font>
    <font>
      <sz val="11"/>
      <color theme="0"/>
      <name val="Arial"/>
      <family val="2"/>
    </font>
    <font>
      <b/>
      <sz val="11"/>
      <color rgb="FF595A5B"/>
      <name val="Arial"/>
      <family val="2"/>
    </font>
    <font>
      <sz val="11"/>
      <color theme="1"/>
      <name val="Myriad Pro"/>
      <scheme val="minor"/>
    </font>
    <font>
      <sz val="11"/>
      <color theme="1"/>
      <name val="Arial"/>
      <family val="2"/>
    </font>
    <font>
      <sz val="11"/>
      <color rgb="FF595A5B"/>
      <name val="Arial"/>
      <family val="2"/>
    </font>
    <font>
      <b/>
      <sz val="14"/>
      <color rgb="FF22789A"/>
      <name val="Arial"/>
      <family val="2"/>
    </font>
    <font>
      <b/>
      <sz val="11"/>
      <color rgb="FF22789A"/>
      <name val="Arial"/>
      <family val="2"/>
    </font>
    <font>
      <sz val="11"/>
      <color rgb="FF595A5B"/>
      <name val="Myriad Pro"/>
      <family val="2"/>
      <scheme val="minor"/>
    </font>
    <font>
      <b/>
      <sz val="11"/>
      <color rgb="FF455560"/>
      <name val="Myriad Pro"/>
      <scheme val="minor"/>
    </font>
    <font>
      <i/>
      <sz val="11"/>
      <color rgb="FF455560"/>
      <name val="Myriad Pro"/>
      <scheme val="minor"/>
    </font>
    <font>
      <sz val="11"/>
      <color rgb="FF373737"/>
      <name val="Arial"/>
      <family val="2"/>
    </font>
    <font>
      <sz val="11"/>
      <color rgb="FF333333"/>
      <name val="Arial Unicode MS"/>
      <family val="2"/>
    </font>
    <font>
      <b/>
      <sz val="18"/>
      <color rgb="FF22789A"/>
      <name val="Arial"/>
      <family val="2"/>
    </font>
    <font>
      <sz val="11"/>
      <color theme="1"/>
      <name val="Myriad Pro"/>
      <family val="2"/>
      <scheme val="minor"/>
    </font>
    <font>
      <sz val="10"/>
      <color indexed="8"/>
      <name val="Arial"/>
      <family val="2"/>
    </font>
    <font>
      <b/>
      <sz val="11"/>
      <color rgb="FF22789A"/>
      <name val="Myriad Pro"/>
      <family val="2"/>
      <scheme val="minor"/>
    </font>
    <font>
      <b/>
      <sz val="11"/>
      <color theme="1"/>
      <name val="Myriad Pro"/>
      <family val="2"/>
      <scheme val="minor"/>
    </font>
    <font>
      <sz val="11"/>
      <color rgb="FFFF0000"/>
      <name val="Myriad Pro"/>
      <family val="2"/>
      <scheme val="minor"/>
    </font>
    <font>
      <u/>
      <sz val="11"/>
      <color theme="1"/>
      <name val="Myriad Pro"/>
      <family val="2"/>
      <scheme val="minor"/>
    </font>
    <font>
      <sz val="14"/>
      <color theme="1"/>
      <name val="Myriad Pro"/>
      <family val="2"/>
      <scheme val="minor"/>
    </font>
    <font>
      <sz val="11"/>
      <color rgb="FFFFFFFF"/>
      <name val="Arial"/>
      <family val="2"/>
    </font>
    <font>
      <sz val="11"/>
      <color rgb="FFFFFFFF"/>
      <name val="Myriad Pro"/>
    </font>
    <font>
      <b/>
      <u/>
      <sz val="14"/>
      <color rgb="FF005CAF"/>
      <name val="Myriad Pro"/>
    </font>
    <font>
      <b/>
      <sz val="11"/>
      <color rgb="FFFFFFFF"/>
      <name val="Arial"/>
      <family val="2"/>
    </font>
    <font>
      <b/>
      <sz val="18"/>
      <color rgb="FFFFFFFF"/>
      <name val="Arial"/>
      <family val="2"/>
    </font>
    <font>
      <b/>
      <sz val="11"/>
      <color theme="1"/>
      <name val="Myriad Pro"/>
      <family val="2"/>
      <scheme val="minor"/>
    </font>
    <font>
      <sz val="11"/>
      <color rgb="FFFFFFFF"/>
      <name val="Myriad Pro"/>
      <family val="2"/>
      <scheme val="minor"/>
    </font>
    <font>
      <b/>
      <i/>
      <sz val="11"/>
      <name val="Arial"/>
      <family val="2"/>
    </font>
    <font>
      <b/>
      <sz val="11"/>
      <name val="Arial"/>
      <family val="2"/>
    </font>
    <font>
      <sz val="11"/>
      <name val="Arial"/>
      <family val="2"/>
    </font>
    <font>
      <vertAlign val="superscript"/>
      <sz val="11"/>
      <color rgb="FF595A5B"/>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bottom/>
      <diagonal/>
    </border>
  </borders>
  <cellStyleXfs count="1">
    <xf numFmtId="0" fontId="0" fillId="0" borderId="0"/>
  </cellStyleXfs>
  <cellXfs count="173">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wrapText="1"/>
    </xf>
    <xf numFmtId="0" fontId="4" fillId="0" borderId="0" xfId="0" applyFont="1"/>
    <xf numFmtId="0" fontId="5" fillId="0" borderId="0" xfId="0" applyFont="1" applyAlignment="1">
      <alignment horizontal="left"/>
    </xf>
    <xf numFmtId="0" fontId="6" fillId="0" borderId="0" xfId="0" applyFont="1" applyAlignment="1">
      <alignment horizontal="left" indent="2"/>
    </xf>
    <xf numFmtId="0" fontId="7" fillId="0" borderId="0" xfId="0" applyFont="1"/>
    <xf numFmtId="0" fontId="8" fillId="0" borderId="0" xfId="0" applyFont="1"/>
    <xf numFmtId="0" fontId="9" fillId="0" borderId="0" xfId="0" applyFont="1" applyAlignment="1">
      <alignment horizontal="left" indent="2"/>
    </xf>
    <xf numFmtId="0" fontId="10" fillId="0" borderId="0" xfId="0" applyFont="1" applyAlignment="1">
      <alignment horizontal="left" indent="2"/>
    </xf>
    <xf numFmtId="164" fontId="11" fillId="0" borderId="1" xfId="0" applyNumberFormat="1" applyFont="1" applyBorder="1" applyAlignment="1">
      <alignment horizontal="right" wrapText="1"/>
    </xf>
    <xf numFmtId="164" fontId="12" fillId="0" borderId="0" xfId="0" applyNumberFormat="1" applyFont="1" applyAlignment="1">
      <alignment vertical="center"/>
    </xf>
    <xf numFmtId="0" fontId="13" fillId="0" borderId="0" xfId="0" applyFont="1"/>
    <xf numFmtId="0" fontId="14" fillId="0" borderId="0" xfId="0" applyFont="1"/>
    <xf numFmtId="164" fontId="15" fillId="0" borderId="0" xfId="0" applyNumberFormat="1" applyFont="1"/>
    <xf numFmtId="164" fontId="16" fillId="0" borderId="0" xfId="0" applyNumberFormat="1" applyFont="1"/>
    <xf numFmtId="0" fontId="17" fillId="0" borderId="0" xfId="0" applyFont="1"/>
    <xf numFmtId="1" fontId="11" fillId="0" borderId="1" xfId="0" applyNumberFormat="1" applyFont="1" applyBorder="1" applyAlignment="1">
      <alignment horizontal="right" wrapText="1"/>
    </xf>
    <xf numFmtId="0" fontId="17" fillId="0" borderId="0" xfId="0" applyFont="1" applyAlignment="1">
      <alignment horizontal="left"/>
    </xf>
    <xf numFmtId="0" fontId="17" fillId="0" borderId="0" xfId="0" applyFont="1" applyAlignment="1">
      <alignment horizontal="right"/>
    </xf>
    <xf numFmtId="0" fontId="17" fillId="0" borderId="0" xfId="0" applyFont="1" applyAlignment="1" applyProtection="1">
      <alignment horizontal="left"/>
      <protection locked="0"/>
    </xf>
    <xf numFmtId="165" fontId="17" fillId="0" borderId="0" xfId="0" applyNumberFormat="1" applyFont="1" applyAlignment="1">
      <alignment horizontal="right"/>
    </xf>
    <xf numFmtId="164" fontId="11" fillId="0" borderId="0" xfId="0" applyNumberFormat="1" applyFont="1" applyAlignment="1">
      <alignment horizontal="left"/>
    </xf>
    <xf numFmtId="164" fontId="16" fillId="0" borderId="0" xfId="0" applyNumberFormat="1" applyFont="1" applyAlignment="1">
      <alignment horizontal="left"/>
    </xf>
    <xf numFmtId="164" fontId="16" fillId="0" borderId="0" xfId="0" applyNumberFormat="1" applyFont="1" applyAlignment="1">
      <alignment horizontal="left" indent="1"/>
    </xf>
    <xf numFmtId="164" fontId="16" fillId="0" borderId="0" xfId="0" applyNumberFormat="1" applyFont="1" applyAlignment="1">
      <alignment horizontal="left" indent="2"/>
    </xf>
    <xf numFmtId="166" fontId="17" fillId="0" borderId="0" xfId="0" applyNumberFormat="1" applyFont="1" applyAlignment="1">
      <alignment horizontal="right"/>
    </xf>
    <xf numFmtId="1" fontId="16" fillId="0" borderId="0" xfId="0" applyNumberFormat="1" applyFont="1" applyAlignment="1" applyProtection="1">
      <alignment horizontal="right"/>
      <protection locked="0"/>
    </xf>
    <xf numFmtId="0" fontId="16" fillId="0" borderId="0" xfId="0" applyFont="1"/>
    <xf numFmtId="0" fontId="16" fillId="0" borderId="0" xfId="0" applyFont="1" applyAlignment="1" applyProtection="1">
      <alignment horizontal="left"/>
      <protection locked="0"/>
    </xf>
    <xf numFmtId="1" fontId="16" fillId="0" borderId="0" xfId="0" applyNumberFormat="1" applyFont="1" applyAlignment="1">
      <alignment horizontal="right"/>
    </xf>
    <xf numFmtId="0" fontId="16" fillId="0" borderId="0" xfId="0" applyFont="1" applyAlignment="1" applyProtection="1">
      <alignment horizontal="right"/>
      <protection locked="0"/>
    </xf>
    <xf numFmtId="167" fontId="16" fillId="0" borderId="0" xfId="0" applyNumberFormat="1" applyFont="1" applyAlignment="1">
      <alignment horizontal="right"/>
    </xf>
    <xf numFmtId="2" fontId="16" fillId="0" borderId="0" xfId="0" applyNumberFormat="1" applyFont="1" applyAlignment="1">
      <alignment horizontal="right"/>
    </xf>
    <xf numFmtId="168" fontId="16" fillId="0" borderId="0" xfId="0" applyNumberFormat="1" applyFont="1" applyAlignment="1">
      <alignment horizontal="right"/>
    </xf>
    <xf numFmtId="169" fontId="16" fillId="0" borderId="0" xfId="0" applyNumberFormat="1" applyFont="1" applyAlignment="1">
      <alignment horizontal="right"/>
    </xf>
    <xf numFmtId="0" fontId="16" fillId="0" borderId="0" xfId="0" applyFont="1" applyAlignment="1">
      <alignment horizontal="right"/>
    </xf>
    <xf numFmtId="14" fontId="16" fillId="0" borderId="0" xfId="0" applyNumberFormat="1" applyFont="1" applyAlignment="1" applyProtection="1">
      <alignment horizontal="left"/>
      <protection locked="0"/>
    </xf>
    <xf numFmtId="0" fontId="11" fillId="0" borderId="0" xfId="0" applyFont="1"/>
    <xf numFmtId="164" fontId="18" fillId="0" borderId="0" xfId="0" applyNumberFormat="1" applyFont="1"/>
    <xf numFmtId="0" fontId="11" fillId="0" borderId="1" xfId="0" applyFont="1" applyBorder="1" applyAlignment="1">
      <alignment horizontal="right"/>
    </xf>
    <xf numFmtId="0" fontId="16" fillId="0" borderId="0" xfId="0" applyFont="1" applyAlignment="1">
      <alignment horizontal="left"/>
    </xf>
    <xf numFmtId="0" fontId="11" fillId="0" borderId="0" xfId="0" applyFont="1" applyAlignment="1" applyProtection="1">
      <alignment horizontal="left"/>
      <protection locked="0"/>
    </xf>
    <xf numFmtId="0" fontId="16" fillId="0" borderId="0" xfId="0" applyFont="1" applyAlignment="1">
      <alignment horizontal="left" wrapText="1"/>
    </xf>
    <xf numFmtId="170" fontId="16" fillId="0" borderId="0" xfId="0" applyNumberFormat="1" applyFont="1" applyAlignment="1">
      <alignment horizontal="right"/>
    </xf>
    <xf numFmtId="0" fontId="16" fillId="0" borderId="0" xfId="0" applyFont="1" applyProtection="1">
      <protection locked="0"/>
    </xf>
    <xf numFmtId="3" fontId="16" fillId="0" borderId="0" xfId="0" applyNumberFormat="1" applyFont="1" applyAlignment="1">
      <alignment horizontal="right"/>
    </xf>
    <xf numFmtId="171" fontId="16" fillId="0" borderId="0" xfId="0" applyNumberFormat="1" applyFont="1"/>
    <xf numFmtId="0" fontId="15" fillId="0" borderId="0" xfId="0" applyFont="1" applyAlignment="1">
      <alignment horizontal="left"/>
    </xf>
    <xf numFmtId="0" fontId="16" fillId="0" borderId="2" xfId="0" applyFont="1" applyBorder="1" applyAlignment="1">
      <alignment horizontal="center"/>
    </xf>
    <xf numFmtId="164" fontId="19" fillId="0" borderId="0" xfId="0" applyNumberFormat="1" applyFont="1"/>
    <xf numFmtId="0" fontId="11" fillId="0" borderId="0" xfId="0" applyFont="1" applyAlignment="1">
      <alignment horizontal="right"/>
    </xf>
    <xf numFmtId="172" fontId="11" fillId="0" borderId="0" xfId="0" applyNumberFormat="1" applyFont="1" applyAlignment="1">
      <alignment horizontal="right"/>
    </xf>
    <xf numFmtId="0" fontId="11" fillId="0" borderId="0" xfId="0" applyFont="1" applyAlignment="1" applyProtection="1">
      <alignment horizontal="right"/>
      <protection locked="0"/>
    </xf>
    <xf numFmtId="168" fontId="11" fillId="0" borderId="0" xfId="0" applyNumberFormat="1" applyFont="1" applyAlignment="1">
      <alignment horizontal="center"/>
    </xf>
    <xf numFmtId="0" fontId="16" fillId="0" borderId="0" xfId="0" applyFont="1" applyAlignment="1" applyProtection="1">
      <alignment horizontal="left" vertical="center"/>
      <protection locked="0"/>
    </xf>
    <xf numFmtId="168" fontId="16" fillId="0" borderId="0" xfId="0" applyNumberFormat="1" applyFont="1" applyAlignment="1">
      <alignment horizontal="center" vertical="center"/>
    </xf>
    <xf numFmtId="168" fontId="16" fillId="0" borderId="0" xfId="0" applyNumberFormat="1" applyFont="1" applyAlignment="1">
      <alignment horizontal="center"/>
    </xf>
    <xf numFmtId="172" fontId="16" fillId="0" borderId="0" xfId="0" applyNumberFormat="1" applyFont="1" applyAlignment="1">
      <alignment horizontal="right"/>
    </xf>
    <xf numFmtId="1" fontId="16" fillId="0" borderId="0" xfId="0" applyNumberFormat="1" applyFont="1" applyAlignment="1">
      <alignment horizontal="center"/>
    </xf>
    <xf numFmtId="3" fontId="16" fillId="0" borderId="0" xfId="0" applyNumberFormat="1" applyFont="1"/>
    <xf numFmtId="0" fontId="16" fillId="0" borderId="2" xfId="0" applyFont="1" applyBorder="1" applyAlignment="1">
      <alignment horizontal="right"/>
    </xf>
    <xf numFmtId="0" fontId="16" fillId="0" borderId="2" xfId="0" applyFont="1" applyBorder="1"/>
    <xf numFmtId="0" fontId="16" fillId="0" borderId="1" xfId="0" applyFont="1" applyBorder="1" applyAlignment="1">
      <alignment vertical="center"/>
    </xf>
    <xf numFmtId="0" fontId="16" fillId="0" borderId="0" xfId="0" applyFont="1" applyAlignment="1">
      <alignment horizontal="center"/>
    </xf>
    <xf numFmtId="17" fontId="11" fillId="0" borderId="0" xfId="0" applyNumberFormat="1" applyFont="1" applyAlignment="1">
      <alignment horizontal="right"/>
    </xf>
    <xf numFmtId="0" fontId="20" fillId="0" borderId="0" xfId="0" applyFont="1"/>
    <xf numFmtId="173" fontId="16" fillId="0" borderId="0" xfId="0" applyNumberFormat="1" applyFont="1" applyAlignment="1">
      <alignment horizontal="right"/>
    </xf>
    <xf numFmtId="0" fontId="11" fillId="0" borderId="0" xfId="0" applyFont="1" applyAlignment="1">
      <alignment horizontal="left"/>
    </xf>
    <xf numFmtId="3" fontId="11" fillId="0" borderId="0" xfId="0" applyNumberFormat="1" applyFont="1" applyAlignment="1">
      <alignment horizontal="right"/>
    </xf>
    <xf numFmtId="0" fontId="16" fillId="2" borderId="0" xfId="0" applyFont="1" applyFill="1" applyAlignment="1">
      <alignment horizontal="right"/>
    </xf>
    <xf numFmtId="165" fontId="16" fillId="0" borderId="0" xfId="0" applyNumberFormat="1" applyFont="1" applyAlignment="1">
      <alignment horizontal="right"/>
    </xf>
    <xf numFmtId="9" fontId="16" fillId="0" borderId="0" xfId="0" applyNumberFormat="1" applyFont="1"/>
    <xf numFmtId="166" fontId="16" fillId="0" borderId="0" xfId="0" applyNumberFormat="1" applyFont="1"/>
    <xf numFmtId="174" fontId="16" fillId="0" borderId="0" xfId="0" applyNumberFormat="1" applyFont="1" applyAlignment="1">
      <alignment horizontal="right"/>
    </xf>
    <xf numFmtId="0" fontId="21" fillId="0" borderId="0" xfId="0" applyFont="1" applyAlignment="1">
      <alignment horizontal="left" vertical="center"/>
    </xf>
    <xf numFmtId="0" fontId="22" fillId="0" borderId="0" xfId="0" applyFont="1" applyAlignment="1">
      <alignment horizontal="left" vertical="center"/>
    </xf>
    <xf numFmtId="9" fontId="16" fillId="0" borderId="0" xfId="0" applyNumberFormat="1" applyFont="1" applyAlignment="1">
      <alignment horizontal="right"/>
    </xf>
    <xf numFmtId="1" fontId="11" fillId="0" borderId="0" xfId="0" applyNumberFormat="1" applyFont="1" applyAlignment="1" applyProtection="1">
      <alignment horizontal="left"/>
      <protection locked="0"/>
    </xf>
    <xf numFmtId="0" fontId="16" fillId="0" borderId="0" xfId="0" applyFont="1" applyAlignment="1" applyProtection="1">
      <alignment horizontal="left" indent="1"/>
      <protection locked="0"/>
    </xf>
    <xf numFmtId="1" fontId="16" fillId="0" borderId="0" xfId="0" applyNumberFormat="1" applyFont="1" applyAlignment="1" applyProtection="1">
      <alignment horizontal="left"/>
      <protection locked="0"/>
    </xf>
    <xf numFmtId="0" fontId="11" fillId="0" borderId="0" xfId="0" applyFont="1" applyAlignment="1" applyProtection="1">
      <alignment horizontal="left" indent="1"/>
      <protection locked="0"/>
    </xf>
    <xf numFmtId="164" fontId="11" fillId="0" borderId="0" xfId="0" applyNumberFormat="1" applyFont="1"/>
    <xf numFmtId="170" fontId="11" fillId="0" borderId="0" xfId="0" applyNumberFormat="1" applyFont="1" applyAlignment="1">
      <alignment horizontal="right"/>
    </xf>
    <xf numFmtId="0" fontId="13" fillId="3" borderId="0" xfId="0" applyFont="1" applyFill="1"/>
    <xf numFmtId="0" fontId="23" fillId="0" borderId="0" xfId="0" applyFont="1" applyAlignment="1">
      <alignment horizontal="right" wrapText="1"/>
    </xf>
    <xf numFmtId="164" fontId="16" fillId="0" borderId="2" xfId="0" applyNumberFormat="1" applyFont="1" applyBorder="1"/>
    <xf numFmtId="0" fontId="17" fillId="0" borderId="0" xfId="0" applyFont="1" applyAlignment="1" applyProtection="1">
      <alignment horizontal="right"/>
      <protection locked="0"/>
    </xf>
    <xf numFmtId="168" fontId="17" fillId="0" borderId="0" xfId="0" applyNumberFormat="1" applyFont="1" applyAlignment="1">
      <alignment horizontal="right"/>
    </xf>
    <xf numFmtId="1" fontId="17" fillId="0" borderId="0" xfId="0" applyNumberFormat="1" applyFont="1" applyAlignment="1">
      <alignment horizontal="right"/>
    </xf>
    <xf numFmtId="170" fontId="17" fillId="0" borderId="0" xfId="0" applyNumberFormat="1" applyFont="1" applyAlignment="1">
      <alignment horizontal="right"/>
    </xf>
    <xf numFmtId="164" fontId="16" fillId="0" borderId="0" xfId="0" applyNumberFormat="1" applyFont="1" applyAlignment="1">
      <alignment horizontal="right"/>
    </xf>
    <xf numFmtId="175" fontId="16" fillId="0" borderId="0" xfId="0" applyNumberFormat="1" applyFont="1" applyAlignment="1">
      <alignment horizontal="right"/>
    </xf>
    <xf numFmtId="0" fontId="16" fillId="0" borderId="1" xfId="0" applyFont="1" applyBorder="1"/>
    <xf numFmtId="0" fontId="10" fillId="0" borderId="0" xfId="0" applyFont="1" applyAlignment="1">
      <alignment horizontal="center"/>
    </xf>
    <xf numFmtId="0" fontId="24" fillId="0" borderId="0" xfId="0" applyFont="1"/>
    <xf numFmtId="0" fontId="10" fillId="0" borderId="2" xfId="0" applyFont="1" applyBorder="1" applyAlignment="1">
      <alignment horizontal="center"/>
    </xf>
    <xf numFmtId="164" fontId="25" fillId="0" borderId="0" xfId="0" applyNumberFormat="1" applyFont="1"/>
    <xf numFmtId="164" fontId="12" fillId="0" borderId="0" xfId="0" applyNumberFormat="1" applyFont="1"/>
    <xf numFmtId="0" fontId="11" fillId="0" borderId="0" xfId="0" applyFont="1" applyAlignment="1">
      <alignment horizontal="center"/>
    </xf>
    <xf numFmtId="0" fontId="16" fillId="0" borderId="2" xfId="0" applyFont="1" applyBorder="1" applyAlignment="1" applyProtection="1">
      <alignment horizontal="right"/>
      <protection locked="0"/>
    </xf>
    <xf numFmtId="168" fontId="16" fillId="0" borderId="2" xfId="0" applyNumberFormat="1" applyFont="1" applyBorder="1" applyAlignment="1">
      <alignment horizontal="right"/>
    </xf>
    <xf numFmtId="164" fontId="26" fillId="0" borderId="0" xfId="0" applyNumberFormat="1" applyFont="1"/>
    <xf numFmtId="168" fontId="16" fillId="0" borderId="3" xfId="0" applyNumberFormat="1" applyFont="1" applyBorder="1" applyAlignment="1">
      <alignment horizontal="right"/>
    </xf>
    <xf numFmtId="3" fontId="26" fillId="0" borderId="4" xfId="0" applyNumberFormat="1" applyFont="1" applyBorder="1"/>
    <xf numFmtId="3" fontId="26" fillId="0" borderId="0" xfId="0" applyNumberFormat="1" applyFont="1" applyAlignment="1">
      <alignment horizontal="right"/>
    </xf>
    <xf numFmtId="176" fontId="16" fillId="0" borderId="0" xfId="0" applyNumberFormat="1" applyFont="1" applyAlignment="1">
      <alignment horizontal="right"/>
    </xf>
    <xf numFmtId="0" fontId="27" fillId="0" borderId="0" xfId="0" applyFont="1" applyAlignment="1">
      <alignment vertical="center"/>
    </xf>
    <xf numFmtId="14" fontId="11" fillId="0" borderId="0" xfId="0" applyNumberFormat="1" applyFont="1" applyAlignment="1" applyProtection="1">
      <alignment horizontal="left"/>
      <protection locked="0"/>
    </xf>
    <xf numFmtId="170" fontId="16" fillId="2" borderId="0" xfId="0" applyNumberFormat="1" applyFont="1" applyFill="1" applyAlignment="1">
      <alignment horizontal="right"/>
    </xf>
    <xf numFmtId="1" fontId="16" fillId="0" borderId="0" xfId="0" applyNumberFormat="1" applyFont="1" applyAlignment="1">
      <alignment horizontal="right" wrapText="1"/>
    </xf>
    <xf numFmtId="3" fontId="16" fillId="0" borderId="0" xfId="0" applyNumberFormat="1" applyFont="1" applyAlignment="1">
      <alignment horizontal="right" wrapText="1"/>
    </xf>
    <xf numFmtId="0" fontId="26" fillId="0" borderId="0" xfId="0" applyFont="1"/>
    <xf numFmtId="0" fontId="26" fillId="0" borderId="0" xfId="0" applyFont="1" applyAlignment="1">
      <alignment horizontal="right"/>
    </xf>
    <xf numFmtId="0" fontId="26" fillId="0" borderId="0" xfId="0" applyFont="1" applyAlignment="1" applyProtection="1">
      <alignment horizontal="left"/>
      <protection locked="0"/>
    </xf>
    <xf numFmtId="0" fontId="26" fillId="0" borderId="2" xfId="0" applyFont="1" applyBorder="1" applyAlignment="1">
      <alignment horizontal="right"/>
    </xf>
    <xf numFmtId="164" fontId="28" fillId="0" borderId="0" xfId="0" applyNumberFormat="1" applyFont="1"/>
    <xf numFmtId="0" fontId="29" fillId="0" borderId="1" xfId="0" applyFont="1" applyBorder="1" applyAlignment="1">
      <alignment horizontal="right"/>
    </xf>
    <xf numFmtId="0" fontId="10" fillId="3" borderId="0" xfId="0" applyFont="1" applyFill="1"/>
    <xf numFmtId="0" fontId="26" fillId="3" borderId="0" xfId="0" applyFont="1" applyFill="1"/>
    <xf numFmtId="0" fontId="16" fillId="0" borderId="2" xfId="0" applyFont="1" applyBorder="1" applyAlignment="1" applyProtection="1">
      <alignment horizontal="left"/>
      <protection locked="0"/>
    </xf>
    <xf numFmtId="0" fontId="30" fillId="0" borderId="0" xfId="0" applyFont="1"/>
    <xf numFmtId="0" fontId="31" fillId="0" borderId="0" xfId="0" applyFont="1"/>
    <xf numFmtId="1" fontId="32" fillId="0" borderId="0" xfId="0" applyNumberFormat="1" applyFont="1"/>
    <xf numFmtId="0" fontId="29" fillId="0" borderId="0" xfId="0" applyFont="1"/>
    <xf numFmtId="1" fontId="16" fillId="0" borderId="0" xfId="0" applyNumberFormat="1" applyFont="1"/>
    <xf numFmtId="3" fontId="16" fillId="0" borderId="2" xfId="0" applyNumberFormat="1" applyFont="1" applyBorder="1" applyAlignment="1">
      <alignment horizontal="right"/>
    </xf>
    <xf numFmtId="1" fontId="11" fillId="0" borderId="5" xfId="0" applyNumberFormat="1" applyFont="1" applyBorder="1" applyAlignment="1">
      <alignment horizontal="right" wrapText="1"/>
    </xf>
    <xf numFmtId="0" fontId="33" fillId="0" borderId="5" xfId="0" applyFont="1" applyBorder="1"/>
    <xf numFmtId="14" fontId="33" fillId="0" borderId="5" xfId="0" applyNumberFormat="1" applyFont="1" applyBorder="1"/>
    <xf numFmtId="0" fontId="33" fillId="0" borderId="5" xfId="0" applyFont="1" applyBorder="1" applyAlignment="1" applyProtection="1">
      <alignment horizontal="left"/>
      <protection locked="0"/>
    </xf>
    <xf numFmtId="0" fontId="34" fillId="0" borderId="5" xfId="0" applyFont="1" applyBorder="1"/>
    <xf numFmtId="0" fontId="33" fillId="0" borderId="5" xfId="0" applyFont="1" applyBorder="1" applyAlignment="1">
      <alignment horizontal="right"/>
    </xf>
    <xf numFmtId="0" fontId="35" fillId="0" borderId="5" xfId="0" applyFont="1" applyBorder="1"/>
    <xf numFmtId="0" fontId="11" fillId="0" borderId="5" xfId="0" applyFont="1" applyBorder="1" applyAlignment="1">
      <alignment horizontal="right"/>
    </xf>
    <xf numFmtId="0" fontId="36" fillId="0" borderId="5" xfId="0" applyFont="1" applyBorder="1" applyAlignment="1">
      <alignment horizontal="right"/>
    </xf>
    <xf numFmtId="172" fontId="36" fillId="0" borderId="5" xfId="0" applyNumberFormat="1" applyFont="1" applyBorder="1" applyAlignment="1">
      <alignment horizontal="right"/>
    </xf>
    <xf numFmtId="0" fontId="36" fillId="0" borderId="5" xfId="0" applyFont="1" applyBorder="1" applyAlignment="1" applyProtection="1">
      <alignment horizontal="right"/>
      <protection locked="0"/>
    </xf>
    <xf numFmtId="168" fontId="36" fillId="0" borderId="5" xfId="0" applyNumberFormat="1" applyFont="1" applyBorder="1" applyAlignment="1">
      <alignment horizontal="center"/>
    </xf>
    <xf numFmtId="17" fontId="11" fillId="0" borderId="5" xfId="0" applyNumberFormat="1" applyFont="1" applyBorder="1" applyAlignment="1">
      <alignment horizontal="right"/>
    </xf>
    <xf numFmtId="164" fontId="33" fillId="0" borderId="5" xfId="0" applyNumberFormat="1" applyFont="1" applyBorder="1"/>
    <xf numFmtId="1" fontId="33" fillId="0" borderId="5" xfId="0" applyNumberFormat="1" applyFont="1" applyBorder="1" applyAlignment="1">
      <alignment horizontal="right"/>
    </xf>
    <xf numFmtId="0" fontId="33" fillId="0" borderId="5" xfId="0" applyFont="1" applyBorder="1" applyAlignment="1" applyProtection="1">
      <alignment horizontal="right"/>
      <protection locked="0"/>
    </xf>
    <xf numFmtId="172" fontId="33" fillId="0" borderId="5" xfId="0" applyNumberFormat="1" applyFont="1" applyBorder="1" applyAlignment="1">
      <alignment horizontal="right"/>
    </xf>
    <xf numFmtId="164" fontId="37" fillId="0" borderId="5" xfId="0" applyNumberFormat="1" applyFont="1" applyBorder="1"/>
    <xf numFmtId="173" fontId="33" fillId="0" borderId="5" xfId="0" applyNumberFormat="1" applyFont="1" applyBorder="1" applyAlignment="1">
      <alignment horizontal="right"/>
    </xf>
    <xf numFmtId="170" fontId="33" fillId="0" borderId="5" xfId="0" applyNumberFormat="1" applyFont="1" applyBorder="1" applyAlignment="1">
      <alignment horizontal="right"/>
    </xf>
    <xf numFmtId="0" fontId="38" fillId="0" borderId="5" xfId="0" applyFont="1" applyBorder="1" applyAlignment="1">
      <alignment horizontal="right"/>
    </xf>
    <xf numFmtId="14" fontId="39" fillId="0" borderId="5" xfId="0" applyNumberFormat="1" applyFont="1" applyBorder="1"/>
    <xf numFmtId="0" fontId="39" fillId="0" borderId="5" xfId="0" applyFont="1" applyBorder="1"/>
    <xf numFmtId="0" fontId="39" fillId="0" borderId="5" xfId="0" applyFont="1" applyBorder="1" applyAlignment="1">
      <alignment horizontal="right"/>
    </xf>
    <xf numFmtId="0" fontId="39" fillId="0" borderId="5" xfId="0" applyFont="1" applyBorder="1" applyAlignment="1" applyProtection="1">
      <alignment horizontal="left"/>
      <protection locked="0"/>
    </xf>
    <xf numFmtId="0" fontId="39" fillId="0" borderId="5" xfId="0" applyFont="1" applyBorder="1" applyAlignment="1">
      <alignment horizontal="left"/>
    </xf>
    <xf numFmtId="1" fontId="23" fillId="0" borderId="0" xfId="0" applyNumberFormat="1" applyFont="1" applyAlignment="1">
      <alignment horizontal="right" wrapText="1"/>
    </xf>
    <xf numFmtId="177" fontId="16" fillId="0" borderId="0" xfId="0" applyNumberFormat="1" applyFont="1" applyAlignment="1">
      <alignment horizontal="right"/>
    </xf>
    <xf numFmtId="164" fontId="42" fillId="0" borderId="5" xfId="0" applyNumberFormat="1" applyFont="1" applyBorder="1" applyAlignment="1">
      <alignment horizontal="right"/>
    </xf>
    <xf numFmtId="173" fontId="42" fillId="0" borderId="5" xfId="0" applyNumberFormat="1" applyFont="1" applyBorder="1" applyAlignment="1">
      <alignment horizontal="right"/>
    </xf>
    <xf numFmtId="164" fontId="42" fillId="0" borderId="0" xfId="0" applyNumberFormat="1" applyFont="1"/>
    <xf numFmtId="173" fontId="42" fillId="0" borderId="0" xfId="0" applyNumberFormat="1" applyFont="1"/>
    <xf numFmtId="172" fontId="42" fillId="0" borderId="5" xfId="0" applyNumberFormat="1" applyFont="1" applyBorder="1" applyAlignment="1">
      <alignment horizontal="right"/>
    </xf>
    <xf numFmtId="0" fontId="17" fillId="0" borderId="5" xfId="0" applyFont="1" applyBorder="1" applyAlignment="1" applyProtection="1">
      <alignment horizontal="left" indent="1"/>
      <protection locked="0"/>
    </xf>
    <xf numFmtId="0" fontId="1" fillId="0" borderId="0" xfId="0" applyFont="1" applyAlignment="1">
      <alignment horizontal="left" wrapText="1"/>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 xfId="0" applyFont="1" applyBorder="1" applyAlignment="1">
      <alignment horizontal="center"/>
    </xf>
    <xf numFmtId="0" fontId="10" fillId="0" borderId="1" xfId="0" applyFont="1" applyBorder="1" applyAlignment="1">
      <alignment horizontal="center"/>
    </xf>
    <xf numFmtId="0" fontId="26" fillId="0" borderId="1" xfId="0" applyFont="1" applyBorder="1" applyAlignment="1">
      <alignment horizontal="center"/>
    </xf>
    <xf numFmtId="0" fontId="26" fillId="0" borderId="0" xfId="0" applyFont="1" applyAlignment="1">
      <alignment horizontal="center"/>
    </xf>
    <xf numFmtId="0" fontId="16" fillId="0" borderId="1" xfId="0" applyFont="1" applyBorder="1" applyAlignment="1">
      <alignment horizontal="center"/>
    </xf>
    <xf numFmtId="0" fontId="16" fillId="0" borderId="0" xfId="0" applyFont="1" applyAlignment="1">
      <alignment horizontal="center"/>
    </xf>
    <xf numFmtId="170" fontId="16" fillId="0" borderId="0" xfId="0" applyNumberFormat="1" applyFont="1" applyFill="1" applyAlignment="1">
      <alignment horizontal="right"/>
    </xf>
    <xf numFmtId="3" fontId="16" fillId="0" borderId="0" xfId="0" applyNumberFormat="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28</xdr:row>
      <xdr:rowOff>0</xdr:rowOff>
    </xdr:from>
    <xdr:to>
      <xdr:col>13</xdr:col>
      <xdr:colOff>0</xdr:colOff>
      <xdr:row>28</xdr:row>
      <xdr:rowOff>0</xdr:rowOff>
    </xdr:to>
    <xdr:sp macro="" textlink="">
      <xdr:nvSpPr>
        <xdr:cNvPr id="3" name="Line 18">
          <a:extLst>
            <a:ext uri="{FF2B5EF4-FFF2-40B4-BE49-F238E27FC236}">
              <a16:creationId xmlns:a16="http://schemas.microsoft.com/office/drawing/2014/main" id="{00000000-0008-0000-0200-000003000000}"/>
            </a:ext>
          </a:extLst>
        </xdr:cNvPr>
        <xdr:cNvSpPr>
          <a:spLocks noChangeShapeType="1"/>
        </xdr:cNvSpPr>
      </xdr:nvSpPr>
      <xdr:spPr bwMode="auto">
        <a:xfrm>
          <a:off x="3452813" y="10632281"/>
          <a:ext cx="9465468"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5</xdr:col>
      <xdr:colOff>0</xdr:colOff>
      <xdr:row>21</xdr:row>
      <xdr:rowOff>126999</xdr:rowOff>
    </xdr:from>
    <xdr:to>
      <xdr:col>15</xdr:col>
      <xdr:colOff>10583</xdr:colOff>
      <xdr:row>22</xdr:row>
      <xdr:rowOff>10582</xdr:rowOff>
    </xdr:to>
    <xdr:sp macro="" textlink="">
      <xdr:nvSpPr>
        <xdr:cNvPr id="2" name="Line 18">
          <a:extLst>
            <a:ext uri="{FF2B5EF4-FFF2-40B4-BE49-F238E27FC236}">
              <a16:creationId xmlns:a16="http://schemas.microsoft.com/office/drawing/2014/main" id="{00000000-0008-0000-0C00-000002000000}"/>
            </a:ext>
          </a:extLst>
        </xdr:cNvPr>
        <xdr:cNvSpPr>
          <a:spLocks noChangeShapeType="1"/>
        </xdr:cNvSpPr>
      </xdr:nvSpPr>
      <xdr:spPr bwMode="auto">
        <a:xfrm>
          <a:off x="4064000" y="6254749"/>
          <a:ext cx="10826750" cy="10583"/>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5</xdr:col>
      <xdr:colOff>0</xdr:colOff>
      <xdr:row>44</xdr:row>
      <xdr:rowOff>126999</xdr:rowOff>
    </xdr:from>
    <xdr:to>
      <xdr:col>15</xdr:col>
      <xdr:colOff>21167</xdr:colOff>
      <xdr:row>45</xdr:row>
      <xdr:rowOff>10582</xdr:rowOff>
    </xdr:to>
    <xdr:sp macro="" textlink="">
      <xdr:nvSpPr>
        <xdr:cNvPr id="3" name="Line 18">
          <a:extLst>
            <a:ext uri="{FF2B5EF4-FFF2-40B4-BE49-F238E27FC236}">
              <a16:creationId xmlns:a16="http://schemas.microsoft.com/office/drawing/2014/main" id="{00000000-0008-0000-0D00-000003000000}"/>
            </a:ext>
          </a:extLst>
        </xdr:cNvPr>
        <xdr:cNvSpPr>
          <a:spLocks noChangeShapeType="1"/>
        </xdr:cNvSpPr>
      </xdr:nvSpPr>
      <xdr:spPr bwMode="auto">
        <a:xfrm>
          <a:off x="4064000" y="12096749"/>
          <a:ext cx="10287000" cy="10583"/>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5</xdr:col>
      <xdr:colOff>0</xdr:colOff>
      <xdr:row>38</xdr:row>
      <xdr:rowOff>126999</xdr:rowOff>
    </xdr:from>
    <xdr:to>
      <xdr:col>15</xdr:col>
      <xdr:colOff>21167</xdr:colOff>
      <xdr:row>39</xdr:row>
      <xdr:rowOff>10582</xdr:rowOff>
    </xdr:to>
    <xdr:sp macro="" textlink="">
      <xdr:nvSpPr>
        <xdr:cNvPr id="5" name="Line 18">
          <a:extLst>
            <a:ext uri="{FF2B5EF4-FFF2-40B4-BE49-F238E27FC236}">
              <a16:creationId xmlns:a16="http://schemas.microsoft.com/office/drawing/2014/main" id="{00000000-0008-0000-0E00-000005000000}"/>
            </a:ext>
          </a:extLst>
        </xdr:cNvPr>
        <xdr:cNvSpPr>
          <a:spLocks noChangeShapeType="1"/>
        </xdr:cNvSpPr>
      </xdr:nvSpPr>
      <xdr:spPr bwMode="auto">
        <a:xfrm>
          <a:off x="4064000" y="10371666"/>
          <a:ext cx="10287000" cy="10583"/>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xdr:col>
      <xdr:colOff>9525</xdr:colOff>
      <xdr:row>31</xdr:row>
      <xdr:rowOff>9525</xdr:rowOff>
    </xdr:to>
    <xdr:pic>
      <xdr:nvPicPr>
        <xdr:cNvPr id="6" name="Picture 5"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5924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9525</xdr:colOff>
      <xdr:row>42</xdr:row>
      <xdr:rowOff>9525</xdr:rowOff>
    </xdr:to>
    <xdr:pic>
      <xdr:nvPicPr>
        <xdr:cNvPr id="10" name="Picture 9"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876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9525</xdr:colOff>
      <xdr:row>45</xdr:row>
      <xdr:rowOff>9525</xdr:rowOff>
    </xdr:to>
    <xdr:pic>
      <xdr:nvPicPr>
        <xdr:cNvPr id="11" name="Picture 10"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9448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9525</xdr:colOff>
      <xdr:row>45</xdr:row>
      <xdr:rowOff>9525</xdr:rowOff>
    </xdr:to>
    <xdr:pic>
      <xdr:nvPicPr>
        <xdr:cNvPr id="13" name="Picture 12"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9448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xdr:from>
      <xdr:col>5</xdr:col>
      <xdr:colOff>10584</xdr:colOff>
      <xdr:row>34</xdr:row>
      <xdr:rowOff>0</xdr:rowOff>
    </xdr:from>
    <xdr:to>
      <xdr:col>15</xdr:col>
      <xdr:colOff>21167</xdr:colOff>
      <xdr:row>34</xdr:row>
      <xdr:rowOff>0</xdr:rowOff>
    </xdr:to>
    <xdr:sp macro="" textlink="">
      <xdr:nvSpPr>
        <xdr:cNvPr id="6" name="Line 18">
          <a:extLst>
            <a:ext uri="{FF2B5EF4-FFF2-40B4-BE49-F238E27FC236}">
              <a16:creationId xmlns:a16="http://schemas.microsoft.com/office/drawing/2014/main" id="{00000000-0008-0000-1000-000006000000}"/>
            </a:ext>
          </a:extLst>
        </xdr:cNvPr>
        <xdr:cNvSpPr>
          <a:spLocks noChangeShapeType="1"/>
        </xdr:cNvSpPr>
      </xdr:nvSpPr>
      <xdr:spPr bwMode="auto">
        <a:xfrm>
          <a:off x="4074584" y="8382000"/>
          <a:ext cx="10276416"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5</xdr:col>
      <xdr:colOff>10583</xdr:colOff>
      <xdr:row>27</xdr:row>
      <xdr:rowOff>126999</xdr:rowOff>
    </xdr:from>
    <xdr:to>
      <xdr:col>15</xdr:col>
      <xdr:colOff>21167</xdr:colOff>
      <xdr:row>28</xdr:row>
      <xdr:rowOff>10583</xdr:rowOff>
    </xdr:to>
    <xdr:sp macro="" textlink="">
      <xdr:nvSpPr>
        <xdr:cNvPr id="7" name="Line 18">
          <a:extLst>
            <a:ext uri="{FF2B5EF4-FFF2-40B4-BE49-F238E27FC236}">
              <a16:creationId xmlns:a16="http://schemas.microsoft.com/office/drawing/2014/main" id="{00000000-0008-0000-1100-000007000000}"/>
            </a:ext>
          </a:extLst>
        </xdr:cNvPr>
        <xdr:cNvSpPr>
          <a:spLocks noChangeShapeType="1"/>
        </xdr:cNvSpPr>
      </xdr:nvSpPr>
      <xdr:spPr bwMode="auto">
        <a:xfrm>
          <a:off x="4074583" y="7630582"/>
          <a:ext cx="10276417" cy="10584"/>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5</xdr:col>
      <xdr:colOff>1</xdr:colOff>
      <xdr:row>44</xdr:row>
      <xdr:rowOff>1</xdr:rowOff>
    </xdr:from>
    <xdr:to>
      <xdr:col>14</xdr:col>
      <xdr:colOff>0</xdr:colOff>
      <xdr:row>44</xdr:row>
      <xdr:rowOff>1</xdr:rowOff>
    </xdr:to>
    <xdr:sp macro="" textlink="">
      <xdr:nvSpPr>
        <xdr:cNvPr id="11" name="Line 18">
          <a:extLst>
            <a:ext uri="{FF2B5EF4-FFF2-40B4-BE49-F238E27FC236}">
              <a16:creationId xmlns:a16="http://schemas.microsoft.com/office/drawing/2014/main" id="{00000000-0008-0000-1200-00000B000000}"/>
            </a:ext>
          </a:extLst>
        </xdr:cNvPr>
        <xdr:cNvSpPr>
          <a:spLocks noChangeShapeType="1"/>
        </xdr:cNvSpPr>
      </xdr:nvSpPr>
      <xdr:spPr bwMode="auto">
        <a:xfrm>
          <a:off x="4064001" y="12350751"/>
          <a:ext cx="9577916"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xdr:from>
      <xdr:col>5</xdr:col>
      <xdr:colOff>10583</xdr:colOff>
      <xdr:row>34</xdr:row>
      <xdr:rowOff>126999</xdr:rowOff>
    </xdr:from>
    <xdr:to>
      <xdr:col>15</xdr:col>
      <xdr:colOff>63500</xdr:colOff>
      <xdr:row>35</xdr:row>
      <xdr:rowOff>21166</xdr:rowOff>
    </xdr:to>
    <xdr:sp macro="" textlink="">
      <xdr:nvSpPr>
        <xdr:cNvPr id="9" name="Line 18">
          <a:extLst>
            <a:ext uri="{FF2B5EF4-FFF2-40B4-BE49-F238E27FC236}">
              <a16:creationId xmlns:a16="http://schemas.microsoft.com/office/drawing/2014/main" id="{00000000-0008-0000-1300-000009000000}"/>
            </a:ext>
          </a:extLst>
        </xdr:cNvPr>
        <xdr:cNvSpPr>
          <a:spLocks noChangeShapeType="1"/>
        </xdr:cNvSpPr>
      </xdr:nvSpPr>
      <xdr:spPr bwMode="auto">
        <a:xfrm>
          <a:off x="4074583" y="8762999"/>
          <a:ext cx="10318750" cy="21167"/>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5</xdr:col>
      <xdr:colOff>21167</xdr:colOff>
      <xdr:row>32</xdr:row>
      <xdr:rowOff>126999</xdr:rowOff>
    </xdr:from>
    <xdr:to>
      <xdr:col>15</xdr:col>
      <xdr:colOff>0</xdr:colOff>
      <xdr:row>33</xdr:row>
      <xdr:rowOff>21166</xdr:rowOff>
    </xdr:to>
    <xdr:sp macro="" textlink="">
      <xdr:nvSpPr>
        <xdr:cNvPr id="14" name="Line 18">
          <a:extLst>
            <a:ext uri="{FF2B5EF4-FFF2-40B4-BE49-F238E27FC236}">
              <a16:creationId xmlns:a16="http://schemas.microsoft.com/office/drawing/2014/main" id="{00000000-0008-0000-1400-00000E000000}"/>
            </a:ext>
          </a:extLst>
        </xdr:cNvPr>
        <xdr:cNvSpPr>
          <a:spLocks noChangeShapeType="1"/>
        </xdr:cNvSpPr>
      </xdr:nvSpPr>
      <xdr:spPr bwMode="auto">
        <a:xfrm>
          <a:off x="4085167" y="8138582"/>
          <a:ext cx="10244666" cy="21167"/>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0</xdr:colOff>
      <xdr:row>11</xdr:row>
      <xdr:rowOff>0</xdr:rowOff>
    </xdr:from>
    <xdr:to>
      <xdr:col>14</xdr:col>
      <xdr:colOff>0</xdr:colOff>
      <xdr:row>11</xdr:row>
      <xdr:rowOff>0</xdr:rowOff>
    </xdr:to>
    <xdr:sp macro="" textlink="">
      <xdr:nvSpPr>
        <xdr:cNvPr id="3" name="Line 18">
          <a:extLst>
            <a:ext uri="{FF2B5EF4-FFF2-40B4-BE49-F238E27FC236}">
              <a16:creationId xmlns:a16="http://schemas.microsoft.com/office/drawing/2014/main" id="{00000000-0008-0000-0300-000003000000}"/>
            </a:ext>
          </a:extLst>
        </xdr:cNvPr>
        <xdr:cNvSpPr>
          <a:spLocks noChangeShapeType="1"/>
        </xdr:cNvSpPr>
      </xdr:nvSpPr>
      <xdr:spPr bwMode="auto">
        <a:xfrm>
          <a:off x="3452813" y="4298156"/>
          <a:ext cx="9465468"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4</xdr:col>
      <xdr:colOff>677334</xdr:colOff>
      <xdr:row>34</xdr:row>
      <xdr:rowOff>116417</xdr:rowOff>
    </xdr:from>
    <xdr:to>
      <xdr:col>15</xdr:col>
      <xdr:colOff>10584</xdr:colOff>
      <xdr:row>35</xdr:row>
      <xdr:rowOff>0</xdr:rowOff>
    </xdr:to>
    <xdr:sp macro="" textlink="">
      <xdr:nvSpPr>
        <xdr:cNvPr id="6" name="Line 18">
          <a:extLst>
            <a:ext uri="{FF2B5EF4-FFF2-40B4-BE49-F238E27FC236}">
              <a16:creationId xmlns:a16="http://schemas.microsoft.com/office/drawing/2014/main" id="{00000000-0008-0000-1500-000006000000}"/>
            </a:ext>
          </a:extLst>
        </xdr:cNvPr>
        <xdr:cNvSpPr>
          <a:spLocks noChangeShapeType="1"/>
        </xdr:cNvSpPr>
      </xdr:nvSpPr>
      <xdr:spPr bwMode="auto">
        <a:xfrm flipV="1">
          <a:off x="4053417" y="8720667"/>
          <a:ext cx="10287000" cy="10583"/>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10583</xdr:colOff>
      <xdr:row>14</xdr:row>
      <xdr:rowOff>126999</xdr:rowOff>
    </xdr:from>
    <xdr:to>
      <xdr:col>14</xdr:col>
      <xdr:colOff>666750</xdr:colOff>
      <xdr:row>15</xdr:row>
      <xdr:rowOff>10582</xdr:rowOff>
    </xdr:to>
    <xdr:sp macro="" textlink="">
      <xdr:nvSpPr>
        <xdr:cNvPr id="2" name="Line 18">
          <a:extLst>
            <a:ext uri="{FF2B5EF4-FFF2-40B4-BE49-F238E27FC236}">
              <a16:creationId xmlns:a16="http://schemas.microsoft.com/office/drawing/2014/main" id="{00000000-0008-0000-0400-000002000000}"/>
            </a:ext>
          </a:extLst>
        </xdr:cNvPr>
        <xdr:cNvSpPr>
          <a:spLocks noChangeShapeType="1"/>
        </xdr:cNvSpPr>
      </xdr:nvSpPr>
      <xdr:spPr bwMode="auto">
        <a:xfrm>
          <a:off x="4074583" y="4063999"/>
          <a:ext cx="10234084" cy="10583"/>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4</xdr:col>
      <xdr:colOff>677333</xdr:colOff>
      <xdr:row>22</xdr:row>
      <xdr:rowOff>0</xdr:rowOff>
    </xdr:from>
    <xdr:to>
      <xdr:col>17</xdr:col>
      <xdr:colOff>10583</xdr:colOff>
      <xdr:row>22</xdr:row>
      <xdr:rowOff>0</xdr:rowOff>
    </xdr:to>
    <xdr:sp macro="" textlink="">
      <xdr:nvSpPr>
        <xdr:cNvPr id="2" name="Line 18">
          <a:extLst>
            <a:ext uri="{FF2B5EF4-FFF2-40B4-BE49-F238E27FC236}">
              <a16:creationId xmlns:a16="http://schemas.microsoft.com/office/drawing/2014/main" id="{00000000-0008-0000-0500-000002000000}"/>
            </a:ext>
          </a:extLst>
        </xdr:cNvPr>
        <xdr:cNvSpPr>
          <a:spLocks noChangeShapeType="1"/>
        </xdr:cNvSpPr>
      </xdr:nvSpPr>
      <xdr:spPr bwMode="auto">
        <a:xfrm>
          <a:off x="4053416" y="5556250"/>
          <a:ext cx="9059334"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5</xdr:col>
      <xdr:colOff>22488</xdr:colOff>
      <xdr:row>23</xdr:row>
      <xdr:rowOff>8730</xdr:rowOff>
    </xdr:from>
    <xdr:to>
      <xdr:col>33</xdr:col>
      <xdr:colOff>35719</xdr:colOff>
      <xdr:row>23</xdr:row>
      <xdr:rowOff>23812</xdr:rowOff>
    </xdr:to>
    <xdr:sp macro="" textlink="">
      <xdr:nvSpPr>
        <xdr:cNvPr id="14" name="Line 18">
          <a:extLst>
            <a:ext uri="{FF2B5EF4-FFF2-40B4-BE49-F238E27FC236}">
              <a16:creationId xmlns:a16="http://schemas.microsoft.com/office/drawing/2014/main" id="{00000000-0008-0000-0600-00000E000000}"/>
            </a:ext>
          </a:extLst>
        </xdr:cNvPr>
        <xdr:cNvSpPr>
          <a:spLocks noChangeShapeType="1"/>
        </xdr:cNvSpPr>
      </xdr:nvSpPr>
      <xdr:spPr bwMode="auto">
        <a:xfrm>
          <a:off x="4094426" y="6140449"/>
          <a:ext cx="28516793" cy="15082"/>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4</xdr:col>
      <xdr:colOff>665427</xdr:colOff>
      <xdr:row>21</xdr:row>
      <xdr:rowOff>119062</xdr:rowOff>
    </xdr:from>
    <xdr:to>
      <xdr:col>31</xdr:col>
      <xdr:colOff>1</xdr:colOff>
      <xdr:row>22</xdr:row>
      <xdr:rowOff>3968</xdr:rowOff>
    </xdr:to>
    <xdr:sp macro="" textlink="">
      <xdr:nvSpPr>
        <xdr:cNvPr id="2" name="Line 18">
          <a:extLst>
            <a:ext uri="{FF2B5EF4-FFF2-40B4-BE49-F238E27FC236}">
              <a16:creationId xmlns:a16="http://schemas.microsoft.com/office/drawing/2014/main" id="{00000000-0008-0000-0700-000002000000}"/>
            </a:ext>
          </a:extLst>
        </xdr:cNvPr>
        <xdr:cNvSpPr>
          <a:spLocks noChangeShapeType="1"/>
        </xdr:cNvSpPr>
      </xdr:nvSpPr>
      <xdr:spPr bwMode="auto">
        <a:xfrm flipV="1">
          <a:off x="4037277" y="7034212"/>
          <a:ext cx="26137924" cy="8731"/>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4</xdr:col>
      <xdr:colOff>665427</xdr:colOff>
      <xdr:row>26</xdr:row>
      <xdr:rowOff>119062</xdr:rowOff>
    </xdr:from>
    <xdr:to>
      <xdr:col>31</xdr:col>
      <xdr:colOff>1</xdr:colOff>
      <xdr:row>27</xdr:row>
      <xdr:rowOff>3968</xdr:rowOff>
    </xdr:to>
    <xdr:sp macro="" textlink="">
      <xdr:nvSpPr>
        <xdr:cNvPr id="2" name="Line 18">
          <a:extLst>
            <a:ext uri="{FF2B5EF4-FFF2-40B4-BE49-F238E27FC236}">
              <a16:creationId xmlns:a16="http://schemas.microsoft.com/office/drawing/2014/main" id="{00000000-0008-0000-0800-000002000000}"/>
            </a:ext>
          </a:extLst>
        </xdr:cNvPr>
        <xdr:cNvSpPr>
          <a:spLocks noChangeShapeType="1"/>
        </xdr:cNvSpPr>
      </xdr:nvSpPr>
      <xdr:spPr bwMode="auto">
        <a:xfrm flipV="1">
          <a:off x="4046802" y="7084218"/>
          <a:ext cx="26195074" cy="3969"/>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4</xdr:col>
      <xdr:colOff>677333</xdr:colOff>
      <xdr:row>38</xdr:row>
      <xdr:rowOff>0</xdr:rowOff>
    </xdr:from>
    <xdr:to>
      <xdr:col>15</xdr:col>
      <xdr:colOff>10584</xdr:colOff>
      <xdr:row>38</xdr:row>
      <xdr:rowOff>0</xdr:rowOff>
    </xdr:to>
    <xdr:sp macro="" textlink="">
      <xdr:nvSpPr>
        <xdr:cNvPr id="4" name="Line 18">
          <a:extLst>
            <a:ext uri="{FF2B5EF4-FFF2-40B4-BE49-F238E27FC236}">
              <a16:creationId xmlns:a16="http://schemas.microsoft.com/office/drawing/2014/main" id="{00000000-0008-0000-0900-000004000000}"/>
            </a:ext>
          </a:extLst>
        </xdr:cNvPr>
        <xdr:cNvSpPr>
          <a:spLocks noChangeShapeType="1"/>
        </xdr:cNvSpPr>
      </xdr:nvSpPr>
      <xdr:spPr bwMode="auto">
        <a:xfrm>
          <a:off x="4053416" y="10138833"/>
          <a:ext cx="10287001"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2" name="Picture 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5</xdr:col>
      <xdr:colOff>52916</xdr:colOff>
      <xdr:row>28</xdr:row>
      <xdr:rowOff>0</xdr:rowOff>
    </xdr:from>
    <xdr:to>
      <xdr:col>14</xdr:col>
      <xdr:colOff>42333</xdr:colOff>
      <xdr:row>28</xdr:row>
      <xdr:rowOff>10584</xdr:rowOff>
    </xdr:to>
    <xdr:sp macro="" textlink="">
      <xdr:nvSpPr>
        <xdr:cNvPr id="2" name="Line 18">
          <a:extLst>
            <a:ext uri="{FF2B5EF4-FFF2-40B4-BE49-F238E27FC236}">
              <a16:creationId xmlns:a16="http://schemas.microsoft.com/office/drawing/2014/main" id="{00000000-0008-0000-0A00-000002000000}"/>
            </a:ext>
          </a:extLst>
        </xdr:cNvPr>
        <xdr:cNvSpPr>
          <a:spLocks noChangeShapeType="1"/>
        </xdr:cNvSpPr>
      </xdr:nvSpPr>
      <xdr:spPr bwMode="auto">
        <a:xfrm>
          <a:off x="4116916" y="7630583"/>
          <a:ext cx="10265834" cy="10584"/>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BREE theme">
  <a:themeElements>
    <a:clrScheme name="BREE">
      <a:dk1>
        <a:srgbClr val="455560"/>
      </a:dk1>
      <a:lt1>
        <a:sysClr val="window" lastClr="FFFFFF"/>
      </a:lt1>
      <a:dk2>
        <a:srgbClr val="1F497D"/>
      </a:dk2>
      <a:lt2>
        <a:srgbClr val="EEECE1"/>
      </a:lt2>
      <a:accent1>
        <a:srgbClr val="B32317"/>
      </a:accent1>
      <a:accent2>
        <a:srgbClr val="D06F1A"/>
      </a:accent2>
      <a:accent3>
        <a:srgbClr val="A0C4DA"/>
      </a:accent3>
      <a:accent4>
        <a:srgbClr val="0065A4"/>
      </a:accent4>
      <a:accent5>
        <a:srgbClr val="50C8E8"/>
      </a:accent5>
      <a:accent6>
        <a:srgbClr val="455560"/>
      </a:accent6>
      <a:hlink>
        <a:srgbClr val="0000FF"/>
      </a:hlink>
      <a:folHlink>
        <a:srgbClr val="800080"/>
      </a:folHlink>
    </a:clrScheme>
    <a:fontScheme name="ABARE_BRS PPT template (Green) 18082010">
      <a:majorFont>
        <a:latin typeface="Myriad Pro"/>
        <a:ea typeface=""/>
        <a:cs typeface=""/>
      </a:majorFont>
      <a:minorFont>
        <a:latin typeface="Myriad Pr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D5F6FF"/>
        </a:solidFill>
        <a:ln w="9525" cap="flat" cmpd="sng" algn="ctr">
          <a:solidFill>
            <a:srgbClr val="0083A9"/>
          </a:solidFill>
          <a:prstDash val="solid"/>
          <a:round/>
          <a:headEnd type="none" w="med" len="med"/>
          <a:tailEnd type="none" w="med" len="med"/>
        </a:ln>
        <a:effectLst/>
      </a:spPr>
      <a:bodyPr vert="horz" wrap="square" lIns="91440" tIns="45720" rIns="91440" bIns="4572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en-US" sz="2000" b="0" i="0" u="none" strike="noStrike" cap="none" normalizeH="0" baseline="0" smtClean="0">
            <a:ln>
              <a:noFill/>
            </a:ln>
            <a:solidFill>
              <a:srgbClr val="0083A9"/>
            </a:solidFill>
            <a:effectLst/>
            <a:latin typeface="Myriad Pro" pitchFamily="34" charset="0"/>
          </a:defRPr>
        </a:defPPr>
      </a:lstStyle>
    </a:spDef>
    <a:lnDef>
      <a:spPr bwMode="auto">
        <a:xfrm>
          <a:off x="0" y="0"/>
          <a:ext cx="1" cy="1"/>
        </a:xfrm>
        <a:custGeom>
          <a:avLst/>
          <a:gdLst/>
          <a:ahLst/>
          <a:cxnLst/>
          <a:rect l="0" t="0" r="0" b="0"/>
          <a:pathLst/>
        </a:custGeom>
        <a:solidFill>
          <a:srgbClr val="D5F6FF"/>
        </a:solidFill>
        <a:ln w="9525" cap="flat" cmpd="sng" algn="ctr">
          <a:solidFill>
            <a:srgbClr val="0083A9"/>
          </a:solidFill>
          <a:prstDash val="solid"/>
          <a:round/>
          <a:headEnd type="none" w="med" len="med"/>
          <a:tailEnd type="none" w="med" len="med"/>
        </a:ln>
        <a:effectLst/>
      </a:spPr>
      <a:bodyPr vert="horz" wrap="square" lIns="91440" tIns="45720" rIns="91440" bIns="4572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en-US" sz="2000" b="0" i="0" u="none" strike="noStrike" cap="none" normalizeH="0" baseline="0" smtClean="0">
            <a:ln>
              <a:noFill/>
            </a:ln>
            <a:solidFill>
              <a:srgbClr val="0083A9"/>
            </a:solidFill>
            <a:effectLst/>
            <a:latin typeface="Myriad Pro" pitchFamily="34" charset="0"/>
          </a:defRPr>
        </a:defPPr>
      </a:lstStyle>
    </a:lnDef>
  </a:objectDefaults>
  <a:extraClrSchemeLst>
    <a:extraClrScheme>
      <a:clrScheme name="ABARE_BRS PPT template (Green) 18082010 1">
        <a:dk1>
          <a:srgbClr val="000000"/>
        </a:dk1>
        <a:lt1>
          <a:srgbClr val="FFFFFF"/>
        </a:lt1>
        <a:dk2>
          <a:srgbClr val="0000FF"/>
        </a:dk2>
        <a:lt2>
          <a:srgbClr val="FFFF00"/>
        </a:lt2>
        <a:accent1>
          <a:srgbClr val="FF9900"/>
        </a:accent1>
        <a:accent2>
          <a:srgbClr val="00FFFF"/>
        </a:accent2>
        <a:accent3>
          <a:srgbClr val="AAAAFF"/>
        </a:accent3>
        <a:accent4>
          <a:srgbClr val="DADADA"/>
        </a:accent4>
        <a:accent5>
          <a:srgbClr val="FFCAAA"/>
        </a:accent5>
        <a:accent6>
          <a:srgbClr val="00E7E7"/>
        </a:accent6>
        <a:hlink>
          <a:srgbClr val="FF0000"/>
        </a:hlink>
        <a:folHlink>
          <a:srgbClr val="969696"/>
        </a:folHlink>
      </a:clrScheme>
      <a:clrMap bg1="dk2" tx1="lt1" bg2="dk1" tx2="lt2" accent1="accent1" accent2="accent2" accent3="accent3" accent4="accent4" accent5="accent5" accent6="accent6" hlink="hlink" folHlink="folHlink"/>
    </a:extraClrScheme>
    <a:extraClrScheme>
      <a:clrScheme name="ABARE_BRS PPT template (Green) 18082010 2">
        <a:dk1>
          <a:srgbClr val="000000"/>
        </a:dk1>
        <a:lt1>
          <a:srgbClr val="FFFFFF"/>
        </a:lt1>
        <a:dk2>
          <a:srgbClr val="000000"/>
        </a:dk2>
        <a:lt2>
          <a:srgbClr val="808080"/>
        </a:lt2>
        <a:accent1>
          <a:srgbClr val="00CC99"/>
        </a:accent1>
        <a:accent2>
          <a:srgbClr val="3333CC"/>
        </a:accent2>
        <a:accent3>
          <a:srgbClr val="FFFFFF"/>
        </a:accent3>
        <a:accent4>
          <a:srgbClr val="000000"/>
        </a:accent4>
        <a:accent5>
          <a:srgbClr val="AAE2CA"/>
        </a:accent5>
        <a:accent6>
          <a:srgbClr val="2D2DB9"/>
        </a:accent6>
        <a:hlink>
          <a:srgbClr val="CCCCFF"/>
        </a:hlink>
        <a:folHlink>
          <a:srgbClr val="B2B2B2"/>
        </a:folHlink>
      </a:clrScheme>
      <a:clrMap bg1="lt1" tx1="dk1" bg2="lt2" tx2="dk2" accent1="accent1" accent2="accent2" accent3="accent3" accent4="accent4" accent5="accent5" accent6="accent6" hlink="hlink" folHlink="folHlink"/>
    </a:extraClrScheme>
    <a:extraClrScheme>
      <a:clrScheme name="ABARE_BRS PPT template (Green) 18082010 3">
        <a:dk1>
          <a:srgbClr val="000000"/>
        </a:dk1>
        <a:lt1>
          <a:srgbClr val="FFFFFF"/>
        </a:lt1>
        <a:dk2>
          <a:srgbClr val="000000"/>
        </a:dk2>
        <a:lt2>
          <a:srgbClr val="333333"/>
        </a:lt2>
        <a:accent1>
          <a:srgbClr val="DDDDDD"/>
        </a:accent1>
        <a:accent2>
          <a:srgbClr val="808080"/>
        </a:accent2>
        <a:accent3>
          <a:srgbClr val="FFFFFF"/>
        </a:accent3>
        <a:accent4>
          <a:srgbClr val="000000"/>
        </a:accent4>
        <a:accent5>
          <a:srgbClr val="EBEBEB"/>
        </a:accent5>
        <a:accent6>
          <a:srgbClr val="737373"/>
        </a:accent6>
        <a:hlink>
          <a:srgbClr val="4D4D4D"/>
        </a:hlink>
        <a:folHlink>
          <a:srgbClr val="EAEAEA"/>
        </a:folHlink>
      </a:clrScheme>
      <a:clrMap bg1="lt1" tx1="dk1" bg2="lt2" tx2="dk2" accent1="accent1" accent2="accent2" accent3="accent3" accent4="accent4" accent5="accent5" accent6="accent6" hlink="hlink" folHlink="folHlink"/>
    </a:extraClrScheme>
    <a:extraClrScheme>
      <a:clrScheme name="ABARE_BRS PPT template (Green) 18082010 4">
        <a:dk1>
          <a:srgbClr val="000000"/>
        </a:dk1>
        <a:lt1>
          <a:srgbClr val="FFFFCC"/>
        </a:lt1>
        <a:dk2>
          <a:srgbClr val="808000"/>
        </a:dk2>
        <a:lt2>
          <a:srgbClr val="666633"/>
        </a:lt2>
        <a:accent1>
          <a:srgbClr val="339933"/>
        </a:accent1>
        <a:accent2>
          <a:srgbClr val="800000"/>
        </a:accent2>
        <a:accent3>
          <a:srgbClr val="FFFFE2"/>
        </a:accent3>
        <a:accent4>
          <a:srgbClr val="000000"/>
        </a:accent4>
        <a:accent5>
          <a:srgbClr val="ADCAAD"/>
        </a:accent5>
        <a:accent6>
          <a:srgbClr val="730000"/>
        </a:accent6>
        <a:hlink>
          <a:srgbClr val="0033CC"/>
        </a:hlink>
        <a:folHlink>
          <a:srgbClr val="FFCC66"/>
        </a:folHlink>
      </a:clrScheme>
      <a:clrMap bg1="lt1" tx1="dk1" bg2="lt2" tx2="dk2" accent1="accent1" accent2="accent2" accent3="accent3" accent4="accent4" accent5="accent5" accent6="accent6" hlink="hlink" folHlink="folHlink"/>
    </a:extraClrScheme>
    <a:extraClrScheme>
      <a:clrScheme name="ABARE_BRS PPT template (Green) 18082010 5">
        <a:dk1>
          <a:srgbClr val="000000"/>
        </a:dk1>
        <a:lt1>
          <a:srgbClr val="FFFFFF"/>
        </a:lt1>
        <a:dk2>
          <a:srgbClr val="000000"/>
        </a:dk2>
        <a:lt2>
          <a:srgbClr val="808080"/>
        </a:lt2>
        <a:accent1>
          <a:srgbClr val="FFCC66"/>
        </a:accent1>
        <a:accent2>
          <a:srgbClr val="0000FF"/>
        </a:accent2>
        <a:accent3>
          <a:srgbClr val="FFFFFF"/>
        </a:accent3>
        <a:accent4>
          <a:srgbClr val="000000"/>
        </a:accent4>
        <a:accent5>
          <a:srgbClr val="FFE2B8"/>
        </a:accent5>
        <a:accent6>
          <a:srgbClr val="0000E7"/>
        </a:accent6>
        <a:hlink>
          <a:srgbClr val="CC00CC"/>
        </a:hlink>
        <a:folHlink>
          <a:srgbClr val="C0C0C0"/>
        </a:folHlink>
      </a:clrScheme>
      <a:clrMap bg1="lt1" tx1="dk1" bg2="lt2" tx2="dk2" accent1="accent1" accent2="accent2" accent3="accent3" accent4="accent4" accent5="accent5" accent6="accent6" hlink="hlink" folHlink="folHlink"/>
    </a:extraClrScheme>
    <a:extraClrScheme>
      <a:clrScheme name="ABARE_BRS PPT template (Green) 18082010 6">
        <a:dk1>
          <a:srgbClr val="000000"/>
        </a:dk1>
        <a:lt1>
          <a:srgbClr val="FFFFFF"/>
        </a:lt1>
        <a:dk2>
          <a:srgbClr val="000000"/>
        </a:dk2>
        <a:lt2>
          <a:srgbClr val="808080"/>
        </a:lt2>
        <a:accent1>
          <a:srgbClr val="C0C0C0"/>
        </a:accent1>
        <a:accent2>
          <a:srgbClr val="0066FF"/>
        </a:accent2>
        <a:accent3>
          <a:srgbClr val="FFFFFF"/>
        </a:accent3>
        <a:accent4>
          <a:srgbClr val="000000"/>
        </a:accent4>
        <a:accent5>
          <a:srgbClr val="DCDCDC"/>
        </a:accent5>
        <a:accent6>
          <a:srgbClr val="005CE7"/>
        </a:accent6>
        <a:hlink>
          <a:srgbClr val="FF0000"/>
        </a:hlink>
        <a:folHlink>
          <a:srgbClr val="009900"/>
        </a:folHlink>
      </a:clrScheme>
      <a:clrMap bg1="lt1" tx1="dk1" bg2="lt2" tx2="dk2" accent1="accent1" accent2="accent2" accent3="accent3" accent4="accent4" accent5="accent5" accent6="accent6" hlink="hlink" folHlink="folHlink"/>
    </a:extraClrScheme>
    <a:extraClrScheme>
      <a:clrScheme name="ABARE_BRS PPT template (Green) 18082010 7">
        <a:dk1>
          <a:srgbClr val="000000"/>
        </a:dk1>
        <a:lt1>
          <a:srgbClr val="FFFFFF"/>
        </a:lt1>
        <a:dk2>
          <a:srgbClr val="000000"/>
        </a:dk2>
        <a:lt2>
          <a:srgbClr val="808080"/>
        </a:lt2>
        <a:accent1>
          <a:srgbClr val="3399FF"/>
        </a:accent1>
        <a:accent2>
          <a:srgbClr val="99FFCC"/>
        </a:accent2>
        <a:accent3>
          <a:srgbClr val="FFFFFF"/>
        </a:accent3>
        <a:accent4>
          <a:srgbClr val="000000"/>
        </a:accent4>
        <a:accent5>
          <a:srgbClr val="ADCAFF"/>
        </a:accent5>
        <a:accent6>
          <a:srgbClr val="8AE7B9"/>
        </a:accent6>
        <a:hlink>
          <a:srgbClr val="CC00CC"/>
        </a:hlink>
        <a:folHlink>
          <a:srgbClr val="B2B2B2"/>
        </a:folHlink>
      </a:clrScheme>
      <a:clrMap bg1="lt1" tx1="dk1" bg2="lt2" tx2="dk2" accent1="accent1" accent2="accent2" accent3="accent3" accent4="accent4" accent5="accent5" accent6="accent6" hlink="hlink" folHlink="folHlink"/>
    </a:extraClrScheme>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1:L500"/>
  <sheetViews>
    <sheetView showGridLines="0" zoomScaleNormal="100" workbookViewId="0">
      <selection activeCell="F31" sqref="F31"/>
    </sheetView>
  </sheetViews>
  <sheetFormatPr defaultColWidth="10.625" defaultRowHeight="14.25"/>
  <cols>
    <col min="1" max="5" width="3.25" customWidth="1"/>
    <col min="6" max="6" width="37.125" customWidth="1"/>
    <col min="7" max="7" width="23.125" customWidth="1"/>
    <col min="8" max="11" width="43.375" customWidth="1"/>
    <col min="12" max="12" width="82.625" customWidth="1"/>
  </cols>
  <sheetData>
    <row r="1" spans="6:11" ht="18" customHeight="1">
      <c r="H1" s="2" t="s">
        <v>200</v>
      </c>
      <c r="I1" s="1"/>
      <c r="J1" s="1"/>
      <c r="K1" s="1"/>
    </row>
    <row r="2" spans="6:11" ht="14.25" customHeight="1"/>
    <row r="3" spans="6:11" ht="14.25" customHeight="1"/>
    <row r="4" spans="6:11" ht="14.25" customHeight="1"/>
    <row r="5" spans="6:11" ht="14.25" customHeight="1"/>
    <row r="6" spans="6:11" ht="14.25" customHeight="1">
      <c r="I6" s="1"/>
      <c r="J6" s="1"/>
      <c r="K6" s="1"/>
    </row>
    <row r="7" spans="6:11" ht="14.25" customHeight="1">
      <c r="F7" s="1" t="s">
        <v>353</v>
      </c>
      <c r="I7" s="1"/>
      <c r="J7" s="1"/>
      <c r="K7" s="1"/>
    </row>
    <row r="8" spans="6:11" ht="14.25" customHeight="1">
      <c r="F8" s="1" t="s">
        <v>354</v>
      </c>
      <c r="I8" s="1"/>
      <c r="J8" s="1"/>
      <c r="K8" s="1"/>
    </row>
    <row r="9" spans="6:11" ht="18.75" customHeight="1">
      <c r="F9" s="1" t="s">
        <v>355</v>
      </c>
      <c r="H9" s="3"/>
      <c r="I9" s="1"/>
      <c r="J9" s="1"/>
      <c r="K9" s="1"/>
    </row>
    <row r="10" spans="6:11" ht="37.5" customHeight="1">
      <c r="F10" s="4" t="s">
        <v>201</v>
      </c>
      <c r="I10" s="1"/>
      <c r="J10" s="1"/>
      <c r="K10" s="1"/>
    </row>
    <row r="11" spans="6:11" ht="14.25" customHeight="1">
      <c r="F11" s="1" t="s">
        <v>202</v>
      </c>
      <c r="I11" s="1"/>
      <c r="J11" s="1"/>
      <c r="K11" s="1"/>
    </row>
    <row r="12" spans="6:11" ht="15.75" customHeight="1">
      <c r="I12" s="1"/>
      <c r="J12" s="1"/>
      <c r="K12" s="1"/>
    </row>
    <row r="13" spans="6:11" ht="15">
      <c r="F13" s="4" t="s">
        <v>203</v>
      </c>
      <c r="I13" s="1"/>
      <c r="J13" s="1"/>
      <c r="K13" s="1"/>
    </row>
    <row r="14" spans="6:11" ht="15.75" customHeight="1">
      <c r="F14" s="1" t="s">
        <v>204</v>
      </c>
      <c r="I14" s="1"/>
      <c r="J14" s="1"/>
      <c r="K14" s="1"/>
    </row>
    <row r="15" spans="6:11" ht="15.75" customHeight="1">
      <c r="F15" s="1" t="s">
        <v>205</v>
      </c>
      <c r="I15" s="1"/>
      <c r="J15" s="1"/>
      <c r="K15" s="1"/>
    </row>
    <row r="16" spans="6:11" ht="15.75" customHeight="1">
      <c r="F16" s="1" t="s">
        <v>206</v>
      </c>
      <c r="I16" s="1"/>
      <c r="J16" s="1"/>
      <c r="K16" s="1"/>
    </row>
    <row r="17" spans="6:12" ht="18.75" customHeight="1">
      <c r="F17" s="1" t="s">
        <v>207</v>
      </c>
      <c r="I17" s="1"/>
      <c r="J17" s="1"/>
      <c r="K17" s="1"/>
    </row>
    <row r="18" spans="6:12" ht="15.75" customHeight="1">
      <c r="F18" s="1" t="s">
        <v>208</v>
      </c>
      <c r="I18" s="1"/>
      <c r="J18" s="1"/>
      <c r="K18" s="1"/>
    </row>
    <row r="19" spans="6:12" ht="18.75" customHeight="1">
      <c r="F19" s="1" t="s">
        <v>209</v>
      </c>
      <c r="I19" s="1"/>
      <c r="J19" s="1"/>
      <c r="K19" s="1"/>
    </row>
    <row r="20" spans="6:12" ht="36.75" customHeight="1">
      <c r="F20" s="162" t="s">
        <v>210</v>
      </c>
      <c r="G20" s="162"/>
      <c r="H20" s="162"/>
      <c r="I20" s="162"/>
      <c r="J20" s="1"/>
      <c r="K20" s="1"/>
    </row>
    <row r="21" spans="6:12" ht="14.25" customHeight="1">
      <c r="F21" s="1" t="s">
        <v>211</v>
      </c>
      <c r="I21" s="1"/>
      <c r="J21" s="1"/>
      <c r="K21" s="1"/>
    </row>
    <row r="22" spans="6:12" ht="18.75" customHeight="1">
      <c r="I22" s="1"/>
      <c r="J22" s="1"/>
      <c r="K22" s="1"/>
    </row>
    <row r="23" spans="6:12" ht="15.75" customHeight="1">
      <c r="F23" s="4" t="s">
        <v>212</v>
      </c>
      <c r="I23" s="5"/>
      <c r="J23" s="5"/>
      <c r="K23" s="5"/>
      <c r="L23" s="5"/>
    </row>
    <row r="24" spans="6:12" ht="15.75" customHeight="1">
      <c r="F24" s="1" t="s">
        <v>213</v>
      </c>
      <c r="I24" s="5"/>
      <c r="J24" s="5"/>
      <c r="K24" s="5"/>
      <c r="L24" s="5"/>
    </row>
    <row r="25" spans="6:12" ht="15.75" customHeight="1">
      <c r="F25" s="1" t="s">
        <v>353</v>
      </c>
      <c r="I25" s="5"/>
      <c r="J25" s="5"/>
      <c r="K25" s="5"/>
      <c r="L25" s="5"/>
    </row>
    <row r="26" spans="6:12" ht="15.75" customHeight="1">
      <c r="F26" s="1" t="s">
        <v>214</v>
      </c>
      <c r="I26" s="5"/>
      <c r="J26" s="5"/>
      <c r="K26" s="5"/>
      <c r="L26" s="5"/>
    </row>
    <row r="27" spans="6:12" ht="15.75" customHeight="1">
      <c r="F27" s="1" t="s">
        <v>215</v>
      </c>
      <c r="I27" s="5"/>
      <c r="J27" s="5"/>
      <c r="K27" s="5"/>
      <c r="L27" s="5"/>
    </row>
    <row r="28" spans="6:12" ht="15.75" customHeight="1">
      <c r="I28" s="5"/>
      <c r="J28" s="5"/>
      <c r="K28" s="5"/>
      <c r="L28" s="5"/>
    </row>
    <row r="29" spans="6:12" ht="15.75" customHeight="1">
      <c r="F29" s="4" t="s">
        <v>216</v>
      </c>
      <c r="I29" s="5"/>
      <c r="J29" s="5"/>
      <c r="K29" s="5"/>
      <c r="L29" s="5"/>
    </row>
    <row r="30" spans="6:12" ht="60" customHeight="1">
      <c r="F30" s="162" t="s">
        <v>356</v>
      </c>
      <c r="G30" s="162"/>
      <c r="H30" s="162"/>
      <c r="I30" s="162"/>
      <c r="J30" s="5"/>
      <c r="K30" s="5"/>
    </row>
    <row r="31" spans="6:12" ht="15.75" customHeight="1">
      <c r="H31" s="6"/>
      <c r="I31" s="6"/>
      <c r="J31" s="5"/>
      <c r="K31" s="5"/>
    </row>
    <row r="32" spans="6:12" ht="15.75" customHeight="1">
      <c r="H32" s="6"/>
      <c r="I32" s="6"/>
      <c r="J32" s="5"/>
      <c r="K32" s="5"/>
    </row>
    <row r="33" spans="8:11" ht="15.75" customHeight="1">
      <c r="H33" s="6"/>
      <c r="I33" s="5"/>
      <c r="J33" s="5"/>
      <c r="K33" s="5"/>
    </row>
    <row r="34" spans="8:11" ht="15.75" customHeight="1">
      <c r="H34" s="6"/>
      <c r="I34" s="5"/>
      <c r="J34" s="6"/>
      <c r="K34" s="6"/>
    </row>
    <row r="35" spans="8:11" ht="15.75" customHeight="1">
      <c r="I35" s="5"/>
      <c r="J35" s="6"/>
      <c r="K35" s="6"/>
    </row>
    <row r="36" spans="8:11" ht="15.75" customHeight="1">
      <c r="I36" s="5"/>
      <c r="J36" s="6"/>
      <c r="K36" s="6"/>
    </row>
    <row r="37" spans="8:11" ht="15">
      <c r="I37" s="5"/>
      <c r="J37" s="5"/>
      <c r="K37" s="5"/>
    </row>
    <row r="38" spans="8:11" ht="15">
      <c r="I38" s="5"/>
      <c r="J38" s="5"/>
      <c r="K38" s="5"/>
    </row>
    <row r="39" spans="8:11" ht="15">
      <c r="I39" s="5"/>
      <c r="J39" s="5"/>
      <c r="K39" s="5"/>
    </row>
    <row r="40" spans="8:11" ht="15">
      <c r="I40" s="5"/>
      <c r="J40" s="5"/>
      <c r="K40" s="5"/>
    </row>
    <row r="41" spans="8:11" ht="15">
      <c r="I41" s="5"/>
      <c r="J41" s="5"/>
      <c r="K41" s="5"/>
    </row>
    <row r="42" spans="8:11" ht="15">
      <c r="I42" s="5"/>
      <c r="J42" s="5"/>
      <c r="K42" s="5"/>
    </row>
    <row r="43" spans="8:11" ht="15">
      <c r="I43" s="5"/>
      <c r="J43" s="5"/>
      <c r="K43" s="5"/>
    </row>
    <row r="44" spans="8:11" ht="15">
      <c r="I44" s="5"/>
      <c r="J44" s="5"/>
      <c r="K44" s="5"/>
    </row>
    <row r="45" spans="8:11" ht="15">
      <c r="I45" s="5"/>
      <c r="J45" s="5"/>
      <c r="K45" s="5"/>
    </row>
    <row r="46" spans="8:11" ht="15">
      <c r="I46" s="5"/>
      <c r="J46" s="5"/>
      <c r="K46" s="5"/>
    </row>
    <row r="47" spans="8:11" ht="15">
      <c r="I47" s="5"/>
      <c r="J47" s="5"/>
      <c r="K47" s="5"/>
    </row>
    <row r="48" spans="8:11" ht="15">
      <c r="I48" s="5"/>
      <c r="J48" s="5"/>
      <c r="K48" s="5"/>
    </row>
    <row r="49" spans="9:11" ht="15">
      <c r="I49" s="5"/>
      <c r="J49" s="5"/>
      <c r="K49" s="5"/>
    </row>
    <row r="50" spans="9:11" ht="15">
      <c r="I50" s="5"/>
      <c r="J50" s="5"/>
      <c r="K50" s="5"/>
    </row>
    <row r="51" spans="9:11" ht="15">
      <c r="I51" s="5"/>
      <c r="J51" s="5"/>
      <c r="K51" s="5"/>
    </row>
    <row r="52" spans="9:11" ht="15">
      <c r="I52" s="5"/>
      <c r="J52" s="5"/>
      <c r="K52" s="5"/>
    </row>
    <row r="53" spans="9:11" ht="15">
      <c r="I53" s="5"/>
      <c r="J53" s="5"/>
      <c r="K53" s="5"/>
    </row>
    <row r="54" spans="9:11" ht="15">
      <c r="I54" s="5"/>
      <c r="J54" s="5"/>
      <c r="K54" s="5"/>
    </row>
    <row r="55" spans="9:11" ht="15">
      <c r="I55" s="5"/>
      <c r="J55" s="5"/>
      <c r="K55" s="5"/>
    </row>
    <row r="56" spans="9:11" ht="15">
      <c r="I56" s="5"/>
      <c r="J56" s="5"/>
      <c r="K56" s="5"/>
    </row>
    <row r="57" spans="9:11" ht="15">
      <c r="I57" s="5"/>
      <c r="J57" s="5"/>
      <c r="K57" s="5"/>
    </row>
    <row r="58" spans="9:11" ht="15">
      <c r="I58" s="5"/>
      <c r="J58" s="5"/>
      <c r="K58" s="5"/>
    </row>
    <row r="59" spans="9:11" ht="15">
      <c r="I59" s="5"/>
      <c r="J59" s="5"/>
      <c r="K59" s="5"/>
    </row>
    <row r="60" spans="9:11" ht="15">
      <c r="I60" s="5"/>
      <c r="J60" s="5"/>
      <c r="K60" s="5"/>
    </row>
    <row r="61" spans="9:11" ht="15">
      <c r="I61" s="5"/>
      <c r="J61" s="5"/>
      <c r="K61" s="5"/>
    </row>
    <row r="62" spans="9:11" ht="15">
      <c r="I62" s="5"/>
      <c r="J62" s="5"/>
      <c r="K62" s="5"/>
    </row>
    <row r="63" spans="9:11" ht="15">
      <c r="I63" s="5"/>
      <c r="J63" s="5"/>
      <c r="K63" s="5"/>
    </row>
    <row r="64" spans="9:11" ht="15">
      <c r="I64" s="5"/>
      <c r="J64" s="5"/>
      <c r="K64" s="5"/>
    </row>
    <row r="65" spans="9:11" ht="15">
      <c r="I65" s="5"/>
      <c r="J65" s="5"/>
      <c r="K65" s="5"/>
    </row>
    <row r="66" spans="9:11" ht="15">
      <c r="I66" s="5"/>
      <c r="J66" s="5"/>
      <c r="K66" s="5"/>
    </row>
    <row r="67" spans="9:11" ht="15">
      <c r="I67" s="5"/>
      <c r="J67" s="5"/>
      <c r="K67" s="5"/>
    </row>
    <row r="68" spans="9:11" ht="15">
      <c r="I68" s="5"/>
      <c r="J68" s="5"/>
      <c r="K68" s="5"/>
    </row>
    <row r="69" spans="9:11" ht="15">
      <c r="I69" s="5"/>
      <c r="J69" s="5"/>
      <c r="K69" s="5"/>
    </row>
    <row r="70" spans="9:11" ht="15">
      <c r="I70" s="5"/>
      <c r="J70" s="5"/>
      <c r="K70" s="5"/>
    </row>
    <row r="71" spans="9:11" ht="15">
      <c r="I71" s="5"/>
      <c r="J71" s="5"/>
      <c r="K71" s="5"/>
    </row>
    <row r="72" spans="9:11" ht="15">
      <c r="I72" s="5"/>
      <c r="J72" s="5"/>
      <c r="K72" s="5"/>
    </row>
    <row r="73" spans="9:11" ht="15">
      <c r="I73" s="5"/>
      <c r="J73" s="5"/>
      <c r="K73" s="5"/>
    </row>
    <row r="74" spans="9:11" ht="15">
      <c r="I74" s="5"/>
      <c r="J74" s="5"/>
      <c r="K74" s="5"/>
    </row>
    <row r="75" spans="9:11" ht="15">
      <c r="I75" s="5"/>
      <c r="J75" s="5"/>
      <c r="K75" s="5"/>
    </row>
    <row r="76" spans="9:11" ht="15">
      <c r="I76" s="5"/>
      <c r="J76" s="5"/>
      <c r="K76" s="5"/>
    </row>
    <row r="77" spans="9:11" ht="15">
      <c r="I77" s="5"/>
      <c r="J77" s="5"/>
      <c r="K77" s="5"/>
    </row>
    <row r="78" spans="9:11" ht="15">
      <c r="I78" s="5"/>
      <c r="J78" s="5"/>
      <c r="K78" s="5"/>
    </row>
    <row r="79" spans="9:11" ht="15">
      <c r="I79" s="5"/>
      <c r="J79" s="5"/>
      <c r="K79" s="5"/>
    </row>
    <row r="80" spans="9:11" ht="15">
      <c r="I80" s="5"/>
      <c r="J80" s="5"/>
      <c r="K80" s="5"/>
    </row>
    <row r="81" spans="9:11" ht="15">
      <c r="I81" s="5"/>
      <c r="J81" s="5"/>
      <c r="K81" s="5"/>
    </row>
    <row r="82" spans="9:11" ht="15">
      <c r="I82" s="5"/>
      <c r="J82" s="5"/>
      <c r="K82" s="5"/>
    </row>
    <row r="83" spans="9:11" ht="15">
      <c r="I83" s="5"/>
      <c r="J83" s="5"/>
      <c r="K83" s="5"/>
    </row>
    <row r="84" spans="9:11" ht="15">
      <c r="I84" s="5"/>
      <c r="J84" s="5"/>
      <c r="K84" s="5"/>
    </row>
    <row r="85" spans="9:11" ht="15">
      <c r="I85" s="5"/>
      <c r="J85" s="5"/>
      <c r="K85" s="5"/>
    </row>
    <row r="86" spans="9:11" ht="15">
      <c r="I86" s="5"/>
      <c r="J86" s="5"/>
      <c r="K86" s="5"/>
    </row>
    <row r="87" spans="9:11" ht="15">
      <c r="I87" s="5"/>
      <c r="J87" s="5"/>
      <c r="K87" s="5"/>
    </row>
    <row r="88" spans="9:11" ht="15">
      <c r="I88" s="5"/>
      <c r="J88" s="5"/>
      <c r="K88" s="5"/>
    </row>
    <row r="89" spans="9:11" ht="15">
      <c r="I89" s="5"/>
      <c r="J89" s="5"/>
      <c r="K89" s="5"/>
    </row>
    <row r="90" spans="9:11" ht="15">
      <c r="I90" s="5"/>
      <c r="J90" s="5"/>
      <c r="K90" s="5"/>
    </row>
    <row r="91" spans="9:11" ht="15">
      <c r="I91" s="5"/>
      <c r="J91" s="5"/>
      <c r="K91" s="5"/>
    </row>
    <row r="92" spans="9:11" ht="15">
      <c r="I92" s="5"/>
      <c r="J92" s="5"/>
      <c r="K92" s="5"/>
    </row>
    <row r="93" spans="9:11" ht="15">
      <c r="I93" s="5"/>
      <c r="J93" s="5"/>
      <c r="K93" s="5"/>
    </row>
    <row r="94" spans="9:11" ht="15">
      <c r="I94" s="5"/>
      <c r="J94" s="5"/>
      <c r="K94" s="5"/>
    </row>
    <row r="95" spans="9:11" ht="15">
      <c r="I95" s="5"/>
      <c r="J95" s="5"/>
      <c r="K95" s="5"/>
    </row>
    <row r="96" spans="9:11" ht="15">
      <c r="I96" s="5"/>
      <c r="J96" s="5"/>
      <c r="K96" s="5"/>
    </row>
    <row r="97" spans="9:11" ht="15">
      <c r="I97" s="5"/>
      <c r="J97" s="5"/>
      <c r="K97" s="5"/>
    </row>
    <row r="98" spans="9:11" ht="15">
      <c r="I98" s="5"/>
      <c r="J98" s="5"/>
      <c r="K98" s="5"/>
    </row>
    <row r="99" spans="9:11" ht="15">
      <c r="I99" s="5"/>
      <c r="J99" s="5"/>
      <c r="K99" s="5"/>
    </row>
    <row r="100" spans="9:11" ht="15">
      <c r="I100" s="5"/>
      <c r="J100" s="5"/>
      <c r="K100" s="5"/>
    </row>
    <row r="101" spans="9:11" ht="15">
      <c r="I101" s="5"/>
      <c r="J101" s="5"/>
      <c r="K101" s="5"/>
    </row>
    <row r="102" spans="9:11" ht="15">
      <c r="I102" s="5"/>
      <c r="J102" s="5"/>
      <c r="K102" s="5"/>
    </row>
    <row r="103" spans="9:11" ht="15">
      <c r="I103" s="5"/>
      <c r="J103" s="5"/>
      <c r="K103" s="5"/>
    </row>
    <row r="104" spans="9:11" ht="15">
      <c r="I104" s="5"/>
      <c r="J104" s="5"/>
      <c r="K104" s="5"/>
    </row>
    <row r="105" spans="9:11" ht="15">
      <c r="I105" s="5"/>
      <c r="J105" s="5"/>
      <c r="K105" s="5"/>
    </row>
    <row r="106" spans="9:11" ht="15">
      <c r="I106" s="5"/>
      <c r="J106" s="5"/>
      <c r="K106" s="5"/>
    </row>
    <row r="107" spans="9:11" ht="15">
      <c r="I107" s="5"/>
      <c r="J107" s="5"/>
      <c r="K107" s="5"/>
    </row>
    <row r="108" spans="9:11" ht="15">
      <c r="I108" s="5"/>
      <c r="J108" s="5"/>
      <c r="K108" s="5"/>
    </row>
    <row r="109" spans="9:11" ht="15">
      <c r="I109" s="5"/>
      <c r="J109" s="5"/>
      <c r="K109" s="5"/>
    </row>
    <row r="110" spans="9:11" ht="15">
      <c r="I110" s="5"/>
      <c r="J110" s="5"/>
      <c r="K110" s="5"/>
    </row>
    <row r="111" spans="9:11" ht="15">
      <c r="I111" s="5"/>
      <c r="J111" s="5"/>
      <c r="K111" s="5"/>
    </row>
    <row r="112" spans="9:11" ht="15">
      <c r="I112" s="5"/>
      <c r="J112" s="5"/>
      <c r="K112" s="5"/>
    </row>
    <row r="113" spans="9:11" ht="15">
      <c r="I113" s="5"/>
      <c r="J113" s="5"/>
      <c r="K113" s="5"/>
    </row>
    <row r="114" spans="9:11" ht="15">
      <c r="I114" s="5"/>
      <c r="J114" s="5"/>
      <c r="K114" s="5"/>
    </row>
    <row r="115" spans="9:11" ht="15">
      <c r="I115" s="5"/>
      <c r="J115" s="5"/>
      <c r="K115" s="5"/>
    </row>
    <row r="116" spans="9:11" ht="15">
      <c r="I116" s="5"/>
      <c r="J116" s="5"/>
      <c r="K116" s="5"/>
    </row>
    <row r="117" spans="9:11" ht="15">
      <c r="I117" s="5"/>
      <c r="J117" s="5"/>
      <c r="K117" s="5"/>
    </row>
    <row r="118" spans="9:11" ht="15">
      <c r="I118" s="5"/>
      <c r="J118" s="5"/>
      <c r="K118" s="5"/>
    </row>
    <row r="119" spans="9:11" ht="15">
      <c r="I119" s="5"/>
      <c r="J119" s="5"/>
      <c r="K119" s="5"/>
    </row>
    <row r="120" spans="9:11" ht="15">
      <c r="I120" s="5"/>
      <c r="J120" s="5"/>
      <c r="K120" s="5"/>
    </row>
    <row r="121" spans="9:11" ht="15">
      <c r="I121" s="5"/>
      <c r="J121" s="5"/>
      <c r="K121" s="5"/>
    </row>
    <row r="122" spans="9:11" ht="15">
      <c r="I122" s="5"/>
      <c r="J122" s="5"/>
      <c r="K122" s="5"/>
    </row>
    <row r="123" spans="9:11" ht="15">
      <c r="I123" s="5"/>
      <c r="J123" s="5"/>
      <c r="K123" s="5"/>
    </row>
    <row r="124" spans="9:11" ht="15">
      <c r="I124" s="5"/>
      <c r="J124" s="5"/>
      <c r="K124" s="5"/>
    </row>
    <row r="125" spans="9:11" ht="15">
      <c r="I125" s="5"/>
      <c r="J125" s="5"/>
      <c r="K125" s="5"/>
    </row>
    <row r="126" spans="9:11" ht="15">
      <c r="I126" s="5"/>
      <c r="J126" s="5"/>
      <c r="K126" s="5"/>
    </row>
    <row r="127" spans="9:11" ht="15">
      <c r="I127" s="5"/>
      <c r="J127" s="5"/>
      <c r="K127" s="5"/>
    </row>
    <row r="128" spans="9:11" ht="15">
      <c r="I128" s="5"/>
      <c r="J128" s="5"/>
      <c r="K128" s="5"/>
    </row>
    <row r="129" spans="9:11" ht="15">
      <c r="I129" s="5"/>
      <c r="J129" s="5"/>
      <c r="K129" s="5"/>
    </row>
    <row r="130" spans="9:11" ht="15">
      <c r="I130" s="5"/>
      <c r="J130" s="5"/>
      <c r="K130" s="5"/>
    </row>
    <row r="131" spans="9:11" ht="15">
      <c r="I131" s="5"/>
      <c r="J131" s="5"/>
      <c r="K131" s="5"/>
    </row>
    <row r="132" spans="9:11" ht="15">
      <c r="I132" s="5"/>
      <c r="J132" s="5"/>
      <c r="K132" s="5"/>
    </row>
    <row r="133" spans="9:11" ht="15">
      <c r="I133" s="5"/>
      <c r="J133" s="5"/>
      <c r="K133" s="5"/>
    </row>
    <row r="134" spans="9:11" ht="15">
      <c r="I134" s="5"/>
      <c r="J134" s="5"/>
      <c r="K134" s="5"/>
    </row>
    <row r="135" spans="9:11" ht="15">
      <c r="I135" s="5"/>
      <c r="J135" s="5"/>
      <c r="K135" s="5"/>
    </row>
    <row r="136" spans="9:11" ht="15">
      <c r="I136" s="5"/>
      <c r="J136" s="5"/>
      <c r="K136" s="5"/>
    </row>
    <row r="137" spans="9:11" ht="15">
      <c r="I137" s="5"/>
      <c r="J137" s="5"/>
      <c r="K137" s="5"/>
    </row>
    <row r="138" spans="9:11" ht="15">
      <c r="I138" s="5"/>
      <c r="J138" s="5"/>
      <c r="K138" s="5"/>
    </row>
    <row r="139" spans="9:11" ht="15">
      <c r="I139" s="5"/>
      <c r="J139" s="5"/>
      <c r="K139" s="5"/>
    </row>
    <row r="140" spans="9:11" ht="15">
      <c r="I140" s="5"/>
      <c r="J140" s="5"/>
      <c r="K140" s="5"/>
    </row>
    <row r="141" spans="9:11" ht="15">
      <c r="I141" s="5"/>
      <c r="J141" s="5"/>
      <c r="K141" s="5"/>
    </row>
    <row r="142" spans="9:11" ht="15">
      <c r="I142" s="5"/>
      <c r="J142" s="5"/>
      <c r="K142" s="5"/>
    </row>
    <row r="143" spans="9:11" ht="15">
      <c r="I143" s="5"/>
      <c r="J143" s="5"/>
      <c r="K143" s="5"/>
    </row>
    <row r="144" spans="9:11" ht="15">
      <c r="I144" s="5"/>
      <c r="J144" s="5"/>
      <c r="K144" s="5"/>
    </row>
    <row r="145" spans="9:11" ht="15">
      <c r="I145" s="5"/>
      <c r="J145" s="5"/>
      <c r="K145" s="5"/>
    </row>
    <row r="146" spans="9:11" ht="15">
      <c r="I146" s="5"/>
      <c r="J146" s="5"/>
      <c r="K146" s="5"/>
    </row>
    <row r="147" spans="9:11" ht="15">
      <c r="I147" s="5"/>
      <c r="J147" s="5"/>
      <c r="K147" s="5"/>
    </row>
    <row r="148" spans="9:11" ht="15">
      <c r="I148" s="5"/>
      <c r="J148" s="5"/>
      <c r="K148" s="5"/>
    </row>
    <row r="149" spans="9:11" ht="15">
      <c r="I149" s="5"/>
      <c r="J149" s="5"/>
      <c r="K149" s="5"/>
    </row>
    <row r="150" spans="9:11" ht="15">
      <c r="I150" s="5"/>
      <c r="J150" s="5"/>
      <c r="K150" s="5"/>
    </row>
    <row r="151" spans="9:11" ht="15">
      <c r="I151" s="5"/>
      <c r="J151" s="5"/>
      <c r="K151" s="5"/>
    </row>
    <row r="152" spans="9:11" ht="15">
      <c r="I152" s="5"/>
      <c r="J152" s="5"/>
      <c r="K152" s="5"/>
    </row>
    <row r="153" spans="9:11" ht="15">
      <c r="I153" s="5"/>
      <c r="J153" s="5"/>
      <c r="K153" s="5"/>
    </row>
    <row r="154" spans="9:11" ht="15">
      <c r="I154" s="5"/>
      <c r="J154" s="5"/>
      <c r="K154" s="5"/>
    </row>
    <row r="155" spans="9:11" ht="15">
      <c r="I155" s="5"/>
      <c r="J155" s="5"/>
      <c r="K155" s="5"/>
    </row>
    <row r="156" spans="9:11" ht="15">
      <c r="I156" s="5"/>
      <c r="J156" s="5"/>
      <c r="K156" s="5"/>
    </row>
    <row r="157" spans="9:11" ht="15">
      <c r="I157" s="5"/>
      <c r="J157" s="5"/>
      <c r="K157" s="5"/>
    </row>
    <row r="158" spans="9:11" ht="15">
      <c r="I158" s="5"/>
      <c r="J158" s="5"/>
      <c r="K158" s="5"/>
    </row>
    <row r="159" spans="9:11" ht="15">
      <c r="I159" s="5"/>
      <c r="J159" s="5"/>
      <c r="K159" s="5"/>
    </row>
    <row r="160" spans="9:11" ht="15">
      <c r="I160" s="5"/>
      <c r="J160" s="5"/>
      <c r="K160" s="5"/>
    </row>
    <row r="161" spans="9:11" ht="15">
      <c r="I161" s="5"/>
      <c r="J161" s="5"/>
      <c r="K161" s="5"/>
    </row>
    <row r="162" spans="9:11" ht="15">
      <c r="I162" s="5"/>
      <c r="J162" s="5"/>
      <c r="K162" s="5"/>
    </row>
    <row r="163" spans="9:11" ht="15">
      <c r="I163" s="5"/>
      <c r="J163" s="5"/>
      <c r="K163" s="5"/>
    </row>
    <row r="164" spans="9:11" ht="15">
      <c r="I164" s="5"/>
      <c r="J164" s="5"/>
      <c r="K164" s="5"/>
    </row>
    <row r="165" spans="9:11" ht="15">
      <c r="I165" s="5"/>
      <c r="J165" s="5"/>
      <c r="K165" s="5"/>
    </row>
    <row r="166" spans="9:11" ht="15">
      <c r="I166" s="5"/>
      <c r="J166" s="5"/>
      <c r="K166" s="5"/>
    </row>
    <row r="167" spans="9:11" ht="15">
      <c r="I167" s="5"/>
      <c r="J167" s="5"/>
      <c r="K167" s="5"/>
    </row>
    <row r="168" spans="9:11" ht="15">
      <c r="I168" s="5"/>
      <c r="J168" s="5"/>
      <c r="K168" s="5"/>
    </row>
    <row r="169" spans="9:11" ht="15">
      <c r="I169" s="5"/>
      <c r="J169" s="5"/>
      <c r="K169" s="5"/>
    </row>
    <row r="170" spans="9:11" ht="15">
      <c r="I170" s="5"/>
      <c r="J170" s="5"/>
      <c r="K170" s="5"/>
    </row>
    <row r="171" spans="9:11" ht="15">
      <c r="I171" s="5"/>
      <c r="J171" s="5"/>
      <c r="K171" s="5"/>
    </row>
    <row r="172" spans="9:11" ht="15">
      <c r="I172" s="5"/>
      <c r="J172" s="5"/>
      <c r="K172" s="5"/>
    </row>
    <row r="173" spans="9:11" ht="15">
      <c r="I173" s="5"/>
      <c r="J173" s="5"/>
      <c r="K173" s="5"/>
    </row>
    <row r="174" spans="9:11" ht="15">
      <c r="I174" s="5"/>
      <c r="J174" s="5"/>
      <c r="K174" s="5"/>
    </row>
    <row r="175" spans="9:11" ht="15">
      <c r="I175" s="5"/>
      <c r="J175" s="5"/>
      <c r="K175" s="5"/>
    </row>
    <row r="176" spans="9:11" ht="15">
      <c r="I176" s="5"/>
      <c r="J176" s="5"/>
      <c r="K176" s="5"/>
    </row>
    <row r="177" spans="9:11" ht="15">
      <c r="I177" s="5"/>
      <c r="J177" s="5"/>
      <c r="K177" s="5"/>
    </row>
    <row r="178" spans="9:11" ht="15">
      <c r="I178" s="5"/>
      <c r="J178" s="5"/>
      <c r="K178" s="5"/>
    </row>
    <row r="179" spans="9:11" ht="15">
      <c r="I179" s="5"/>
      <c r="J179" s="5"/>
      <c r="K179" s="5"/>
    </row>
    <row r="180" spans="9:11" ht="15">
      <c r="I180" s="5"/>
      <c r="J180" s="5"/>
      <c r="K180" s="5"/>
    </row>
    <row r="181" spans="9:11" ht="15">
      <c r="I181" s="5"/>
      <c r="J181" s="5"/>
      <c r="K181" s="5"/>
    </row>
    <row r="182" spans="9:11" ht="15">
      <c r="I182" s="5"/>
      <c r="J182" s="5"/>
      <c r="K182" s="5"/>
    </row>
    <row r="183" spans="9:11" ht="15">
      <c r="I183" s="5"/>
      <c r="J183" s="5"/>
      <c r="K183" s="5"/>
    </row>
    <row r="184" spans="9:11" ht="15">
      <c r="I184" s="5"/>
      <c r="J184" s="5"/>
      <c r="K184" s="5"/>
    </row>
    <row r="185" spans="9:11" ht="15">
      <c r="I185" s="5"/>
      <c r="J185" s="5"/>
      <c r="K185" s="5"/>
    </row>
    <row r="186" spans="9:11" ht="15">
      <c r="I186" s="5"/>
      <c r="J186" s="5"/>
      <c r="K186" s="5"/>
    </row>
    <row r="187" spans="9:11" ht="15">
      <c r="I187" s="5"/>
      <c r="J187" s="5"/>
      <c r="K187" s="5"/>
    </row>
    <row r="188" spans="9:11" ht="15">
      <c r="I188" s="5"/>
      <c r="J188" s="5"/>
      <c r="K188" s="5"/>
    </row>
    <row r="189" spans="9:11" ht="15">
      <c r="I189" s="5"/>
      <c r="J189" s="5"/>
      <c r="K189" s="5"/>
    </row>
    <row r="190" spans="9:11" ht="15">
      <c r="I190" s="5"/>
      <c r="J190" s="5"/>
      <c r="K190" s="5"/>
    </row>
    <row r="191" spans="9:11" ht="15">
      <c r="I191" s="5"/>
      <c r="J191" s="5"/>
      <c r="K191" s="5"/>
    </row>
    <row r="192" spans="9:11" ht="15">
      <c r="I192" s="5"/>
      <c r="J192" s="5"/>
      <c r="K192" s="5"/>
    </row>
    <row r="193" spans="9:11" ht="15">
      <c r="I193" s="5"/>
      <c r="J193" s="5"/>
      <c r="K193" s="5"/>
    </row>
    <row r="194" spans="9:11" ht="15">
      <c r="I194" s="5"/>
      <c r="J194" s="5"/>
      <c r="K194" s="5"/>
    </row>
    <row r="195" spans="9:11" ht="15">
      <c r="I195" s="5"/>
      <c r="J195" s="5"/>
      <c r="K195" s="5"/>
    </row>
    <row r="196" spans="9:11" ht="15">
      <c r="I196" s="5"/>
      <c r="J196" s="5"/>
      <c r="K196" s="5"/>
    </row>
    <row r="197" spans="9:11" ht="15">
      <c r="I197" s="5"/>
      <c r="J197" s="5"/>
      <c r="K197" s="5"/>
    </row>
    <row r="198" spans="9:11" ht="15">
      <c r="I198" s="5"/>
      <c r="J198" s="5"/>
      <c r="K198" s="5"/>
    </row>
    <row r="199" spans="9:11" ht="15">
      <c r="I199" s="5"/>
      <c r="J199" s="5"/>
      <c r="K199" s="5"/>
    </row>
    <row r="200" spans="9:11" ht="15">
      <c r="I200" s="5"/>
      <c r="J200" s="5"/>
      <c r="K200" s="5"/>
    </row>
    <row r="201" spans="9:11" ht="15">
      <c r="I201" s="5"/>
      <c r="J201" s="5"/>
      <c r="K201" s="5"/>
    </row>
    <row r="202" spans="9:11" ht="15">
      <c r="I202" s="5"/>
      <c r="J202" s="5"/>
      <c r="K202" s="5"/>
    </row>
    <row r="203" spans="9:11" ht="15">
      <c r="I203" s="5"/>
      <c r="J203" s="5"/>
      <c r="K203" s="5"/>
    </row>
    <row r="204" spans="9:11" ht="15">
      <c r="I204" s="5"/>
      <c r="J204" s="5"/>
      <c r="K204" s="5"/>
    </row>
    <row r="205" spans="9:11" ht="15">
      <c r="I205" s="5"/>
      <c r="J205" s="5"/>
      <c r="K205" s="5"/>
    </row>
    <row r="206" spans="9:11" ht="15">
      <c r="I206" s="5"/>
      <c r="J206" s="5"/>
      <c r="K206" s="5"/>
    </row>
    <row r="207" spans="9:11" ht="15">
      <c r="I207" s="5"/>
      <c r="J207" s="5"/>
      <c r="K207" s="5"/>
    </row>
    <row r="208" spans="9:11" ht="15">
      <c r="I208" s="5"/>
      <c r="J208" s="5"/>
      <c r="K208" s="5"/>
    </row>
    <row r="209" spans="9:11" ht="15">
      <c r="I209" s="5"/>
      <c r="J209" s="5"/>
      <c r="K209" s="5"/>
    </row>
    <row r="210" spans="9:11" ht="15">
      <c r="I210" s="5"/>
      <c r="J210" s="5"/>
      <c r="K210" s="5"/>
    </row>
    <row r="211" spans="9:11" ht="15">
      <c r="I211" s="5"/>
      <c r="J211" s="5"/>
      <c r="K211" s="5"/>
    </row>
    <row r="212" spans="9:11" ht="15">
      <c r="I212" s="5"/>
      <c r="J212" s="5"/>
      <c r="K212" s="5"/>
    </row>
    <row r="213" spans="9:11" ht="15">
      <c r="I213" s="5"/>
      <c r="J213" s="5"/>
      <c r="K213" s="5"/>
    </row>
    <row r="214" spans="9:11" ht="15">
      <c r="I214" s="5"/>
      <c r="J214" s="5"/>
      <c r="K214" s="5"/>
    </row>
    <row r="215" spans="9:11" ht="15">
      <c r="I215" s="5"/>
      <c r="J215" s="5"/>
      <c r="K215" s="5"/>
    </row>
    <row r="216" spans="9:11" ht="15">
      <c r="I216" s="5"/>
      <c r="J216" s="5"/>
      <c r="K216" s="5"/>
    </row>
    <row r="217" spans="9:11" ht="15">
      <c r="I217" s="5"/>
      <c r="J217" s="5"/>
      <c r="K217" s="5"/>
    </row>
    <row r="218" spans="9:11" ht="15">
      <c r="I218" s="5"/>
      <c r="J218" s="5"/>
      <c r="K218" s="5"/>
    </row>
    <row r="219" spans="9:11" ht="15">
      <c r="I219" s="5"/>
      <c r="J219" s="5"/>
      <c r="K219" s="5"/>
    </row>
    <row r="220" spans="9:11" ht="15">
      <c r="I220" s="5"/>
      <c r="J220" s="5"/>
      <c r="K220" s="5"/>
    </row>
    <row r="221" spans="9:11" ht="15">
      <c r="I221" s="5"/>
      <c r="J221" s="5"/>
      <c r="K221" s="5"/>
    </row>
    <row r="222" spans="9:11" ht="15">
      <c r="I222" s="5"/>
      <c r="J222" s="5"/>
      <c r="K222" s="5"/>
    </row>
    <row r="223" spans="9:11" ht="15">
      <c r="I223" s="5"/>
      <c r="J223" s="5"/>
      <c r="K223" s="5"/>
    </row>
    <row r="224" spans="9:11" ht="15">
      <c r="I224" s="5"/>
      <c r="J224" s="5"/>
      <c r="K224" s="5"/>
    </row>
    <row r="225" spans="9:11" ht="15">
      <c r="I225" s="5"/>
      <c r="J225" s="5"/>
      <c r="K225" s="5"/>
    </row>
    <row r="226" spans="9:11" ht="15">
      <c r="I226" s="5"/>
      <c r="J226" s="5"/>
      <c r="K226" s="5"/>
    </row>
    <row r="227" spans="9:11" ht="15">
      <c r="I227" s="5"/>
      <c r="J227" s="5"/>
      <c r="K227" s="5"/>
    </row>
    <row r="228" spans="9:11" ht="15">
      <c r="I228" s="5"/>
      <c r="J228" s="5"/>
      <c r="K228" s="5"/>
    </row>
    <row r="229" spans="9:11" ht="15">
      <c r="I229" s="5"/>
      <c r="J229" s="5"/>
      <c r="K229" s="5"/>
    </row>
    <row r="230" spans="9:11" ht="15">
      <c r="I230" s="5"/>
      <c r="J230" s="5"/>
      <c r="K230" s="5"/>
    </row>
    <row r="231" spans="9:11" ht="15">
      <c r="I231" s="5"/>
      <c r="J231" s="5"/>
      <c r="K231" s="5"/>
    </row>
    <row r="232" spans="9:11" ht="15">
      <c r="I232" s="5"/>
      <c r="J232" s="5"/>
      <c r="K232" s="5"/>
    </row>
    <row r="233" spans="9:11" ht="15">
      <c r="I233" s="5"/>
      <c r="J233" s="5"/>
      <c r="K233" s="5"/>
    </row>
    <row r="234" spans="9:11" ht="15">
      <c r="I234" s="5"/>
      <c r="J234" s="5"/>
      <c r="K234" s="5"/>
    </row>
    <row r="235" spans="9:11" ht="15">
      <c r="I235" s="5"/>
      <c r="J235" s="5"/>
      <c r="K235" s="5"/>
    </row>
    <row r="236" spans="9:11" ht="15">
      <c r="I236" s="5"/>
      <c r="J236" s="5"/>
      <c r="K236" s="5"/>
    </row>
    <row r="237" spans="9:11" ht="15">
      <c r="I237" s="5"/>
      <c r="J237" s="5"/>
      <c r="K237" s="5"/>
    </row>
    <row r="238" spans="9:11" ht="15">
      <c r="I238" s="5"/>
      <c r="J238" s="5"/>
      <c r="K238" s="5"/>
    </row>
    <row r="239" spans="9:11" ht="15">
      <c r="I239" s="5"/>
      <c r="J239" s="5"/>
      <c r="K239" s="5"/>
    </row>
    <row r="240" spans="9:11" ht="15">
      <c r="I240" s="5"/>
      <c r="J240" s="5"/>
      <c r="K240" s="5"/>
    </row>
    <row r="241" spans="9:11" ht="15">
      <c r="I241" s="5"/>
      <c r="J241" s="5"/>
      <c r="K241" s="5"/>
    </row>
    <row r="242" spans="9:11" ht="15">
      <c r="I242" s="5"/>
      <c r="J242" s="5"/>
      <c r="K242" s="5"/>
    </row>
    <row r="243" spans="9:11" ht="15">
      <c r="I243" s="5"/>
      <c r="J243" s="5"/>
      <c r="K243" s="5"/>
    </row>
    <row r="244" spans="9:11" ht="15">
      <c r="I244" s="5"/>
      <c r="J244" s="5"/>
      <c r="K244" s="5"/>
    </row>
    <row r="245" spans="9:11" ht="15">
      <c r="I245" s="5"/>
      <c r="J245" s="5"/>
      <c r="K245" s="5"/>
    </row>
    <row r="246" spans="9:11" ht="15">
      <c r="I246" s="5"/>
      <c r="J246" s="5"/>
      <c r="K246" s="5"/>
    </row>
    <row r="247" spans="9:11" ht="15">
      <c r="I247" s="5"/>
      <c r="J247" s="5"/>
      <c r="K247" s="5"/>
    </row>
    <row r="248" spans="9:11" ht="15">
      <c r="I248" s="5"/>
      <c r="J248" s="5"/>
      <c r="K248" s="5"/>
    </row>
    <row r="249" spans="9:11" ht="15">
      <c r="I249" s="5"/>
      <c r="J249" s="5"/>
      <c r="K249" s="5"/>
    </row>
    <row r="250" spans="9:11" ht="15">
      <c r="I250" s="5"/>
      <c r="J250" s="5"/>
      <c r="K250" s="5"/>
    </row>
    <row r="251" spans="9:11" ht="15">
      <c r="I251" s="5"/>
      <c r="J251" s="5"/>
      <c r="K251" s="5"/>
    </row>
    <row r="252" spans="9:11" ht="15">
      <c r="I252" s="5"/>
      <c r="J252" s="5"/>
      <c r="K252" s="5"/>
    </row>
    <row r="253" spans="9:11" ht="15">
      <c r="I253" s="5"/>
      <c r="J253" s="5"/>
      <c r="K253" s="5"/>
    </row>
    <row r="254" spans="9:11" ht="15">
      <c r="I254" s="5"/>
      <c r="J254" s="5"/>
      <c r="K254" s="5"/>
    </row>
    <row r="255" spans="9:11" ht="15">
      <c r="I255" s="5"/>
      <c r="J255" s="5"/>
      <c r="K255" s="5"/>
    </row>
    <row r="256" spans="9:11" ht="15">
      <c r="I256" s="5"/>
      <c r="J256" s="5"/>
      <c r="K256" s="5"/>
    </row>
    <row r="257" spans="9:11" ht="15">
      <c r="I257" s="5"/>
      <c r="J257" s="5"/>
      <c r="K257" s="5"/>
    </row>
    <row r="258" spans="9:11" ht="15">
      <c r="I258" s="5"/>
      <c r="J258" s="5"/>
      <c r="K258" s="5"/>
    </row>
    <row r="259" spans="9:11" ht="15">
      <c r="I259" s="5"/>
      <c r="J259" s="5"/>
      <c r="K259" s="5"/>
    </row>
    <row r="260" spans="9:11" ht="15">
      <c r="I260" s="5"/>
      <c r="J260" s="5"/>
      <c r="K260" s="5"/>
    </row>
    <row r="261" spans="9:11" ht="15">
      <c r="I261" s="5"/>
      <c r="J261" s="5"/>
      <c r="K261" s="5"/>
    </row>
    <row r="262" spans="9:11" ht="15">
      <c r="I262" s="5"/>
      <c r="J262" s="5"/>
      <c r="K262" s="5"/>
    </row>
    <row r="263" spans="9:11" ht="15">
      <c r="I263" s="5"/>
      <c r="J263" s="5"/>
      <c r="K263" s="5"/>
    </row>
    <row r="264" spans="9:11" ht="15">
      <c r="I264" s="5"/>
      <c r="J264" s="5"/>
      <c r="K264" s="5"/>
    </row>
    <row r="265" spans="9:11" ht="15">
      <c r="I265" s="5"/>
      <c r="J265" s="5"/>
      <c r="K265" s="5"/>
    </row>
    <row r="266" spans="9:11" ht="15">
      <c r="I266" s="5"/>
      <c r="J266" s="5"/>
      <c r="K266" s="5"/>
    </row>
    <row r="267" spans="9:11" ht="15">
      <c r="I267" s="5"/>
      <c r="J267" s="5"/>
      <c r="K267" s="5"/>
    </row>
    <row r="268" spans="9:11" ht="15">
      <c r="I268" s="5"/>
      <c r="J268" s="5"/>
      <c r="K268" s="5"/>
    </row>
    <row r="269" spans="9:11" ht="15">
      <c r="I269" s="5"/>
      <c r="J269" s="5"/>
      <c r="K269" s="5"/>
    </row>
    <row r="270" spans="9:11" ht="15">
      <c r="I270" s="5"/>
      <c r="J270" s="5"/>
      <c r="K270" s="5"/>
    </row>
    <row r="271" spans="9:11" ht="15">
      <c r="I271" s="5"/>
      <c r="J271" s="5"/>
      <c r="K271" s="5"/>
    </row>
    <row r="272" spans="9:11" ht="15">
      <c r="I272" s="5"/>
      <c r="J272" s="5"/>
      <c r="K272" s="5"/>
    </row>
    <row r="273" spans="9:11" ht="15">
      <c r="I273" s="5"/>
      <c r="J273" s="5"/>
      <c r="K273" s="5"/>
    </row>
    <row r="274" spans="9:11" ht="15">
      <c r="I274" s="5"/>
      <c r="J274" s="5"/>
      <c r="K274" s="5"/>
    </row>
    <row r="275" spans="9:11" ht="15">
      <c r="I275" s="5"/>
      <c r="J275" s="5"/>
      <c r="K275" s="5"/>
    </row>
    <row r="276" spans="9:11" ht="15">
      <c r="I276" s="5"/>
      <c r="J276" s="5"/>
      <c r="K276" s="5"/>
    </row>
    <row r="277" spans="9:11" ht="15">
      <c r="I277" s="5"/>
      <c r="J277" s="5"/>
      <c r="K277" s="5"/>
    </row>
    <row r="278" spans="9:11" ht="15">
      <c r="I278" s="5"/>
      <c r="J278" s="5"/>
      <c r="K278" s="5"/>
    </row>
    <row r="279" spans="9:11" ht="15">
      <c r="I279" s="5"/>
      <c r="J279" s="5"/>
      <c r="K279" s="5"/>
    </row>
    <row r="280" spans="9:11" ht="15">
      <c r="I280" s="5"/>
      <c r="J280" s="5"/>
      <c r="K280" s="5"/>
    </row>
    <row r="281" spans="9:11" ht="15">
      <c r="I281" s="5"/>
      <c r="J281" s="5"/>
      <c r="K281" s="5"/>
    </row>
    <row r="282" spans="9:11" ht="15">
      <c r="I282" s="5"/>
      <c r="J282" s="5"/>
      <c r="K282" s="5"/>
    </row>
    <row r="283" spans="9:11" ht="15">
      <c r="I283" s="5"/>
      <c r="J283" s="5"/>
      <c r="K283" s="5"/>
    </row>
    <row r="284" spans="9:11" ht="15">
      <c r="I284" s="5"/>
      <c r="J284" s="5"/>
      <c r="K284" s="5"/>
    </row>
    <row r="285" spans="9:11" ht="15">
      <c r="I285" s="5"/>
      <c r="J285" s="5"/>
      <c r="K285" s="5"/>
    </row>
    <row r="286" spans="9:11" ht="15">
      <c r="I286" s="5"/>
      <c r="J286" s="5"/>
      <c r="K286" s="5"/>
    </row>
    <row r="287" spans="9:11" ht="15">
      <c r="I287" s="5"/>
      <c r="J287" s="5"/>
      <c r="K287" s="5"/>
    </row>
    <row r="288" spans="9:11" ht="15">
      <c r="I288" s="5"/>
      <c r="J288" s="5"/>
      <c r="K288" s="5"/>
    </row>
    <row r="289" spans="9:11" ht="15">
      <c r="I289" s="5"/>
      <c r="J289" s="5"/>
      <c r="K289" s="5"/>
    </row>
    <row r="290" spans="9:11" ht="15">
      <c r="I290" s="5"/>
      <c r="J290" s="5"/>
      <c r="K290" s="5"/>
    </row>
    <row r="291" spans="9:11" ht="15">
      <c r="I291" s="5"/>
      <c r="J291" s="5"/>
      <c r="K291" s="5"/>
    </row>
    <row r="292" spans="9:11" ht="15">
      <c r="I292" s="5"/>
      <c r="J292" s="5"/>
      <c r="K292" s="5"/>
    </row>
    <row r="293" spans="9:11" ht="15">
      <c r="I293" s="5"/>
      <c r="J293" s="5"/>
      <c r="K293" s="5"/>
    </row>
    <row r="294" spans="9:11" ht="15">
      <c r="I294" s="5"/>
      <c r="J294" s="5"/>
      <c r="K294" s="5"/>
    </row>
    <row r="295" spans="9:11" ht="15">
      <c r="I295" s="5"/>
      <c r="J295" s="5"/>
      <c r="K295" s="5"/>
    </row>
    <row r="296" spans="9:11" ht="15">
      <c r="I296" s="5"/>
      <c r="J296" s="5"/>
      <c r="K296" s="5"/>
    </row>
    <row r="297" spans="9:11" ht="15">
      <c r="I297" s="5"/>
      <c r="J297" s="5"/>
      <c r="K297" s="5"/>
    </row>
    <row r="298" spans="9:11" ht="15">
      <c r="I298" s="5"/>
      <c r="J298" s="5"/>
      <c r="K298" s="5"/>
    </row>
    <row r="299" spans="9:11" ht="15">
      <c r="I299" s="5"/>
      <c r="J299" s="5"/>
      <c r="K299" s="5"/>
    </row>
    <row r="300" spans="9:11" ht="15">
      <c r="I300" s="5"/>
      <c r="J300" s="5"/>
      <c r="K300" s="5"/>
    </row>
    <row r="301" spans="9:11" ht="15">
      <c r="I301" s="5"/>
      <c r="J301" s="5"/>
      <c r="K301" s="5"/>
    </row>
    <row r="302" spans="9:11" ht="15">
      <c r="I302" s="5"/>
      <c r="J302" s="5"/>
      <c r="K302" s="5"/>
    </row>
    <row r="303" spans="9:11" ht="15">
      <c r="I303" s="5"/>
      <c r="J303" s="5"/>
      <c r="K303" s="5"/>
    </row>
    <row r="304" spans="9:11" ht="15">
      <c r="I304" s="5"/>
      <c r="J304" s="5"/>
      <c r="K304" s="5"/>
    </row>
    <row r="305" spans="9:11" ht="15">
      <c r="I305" s="5"/>
      <c r="J305" s="5"/>
      <c r="K305" s="5"/>
    </row>
    <row r="306" spans="9:11" ht="15">
      <c r="I306" s="5"/>
      <c r="J306" s="5"/>
      <c r="K306" s="5"/>
    </row>
    <row r="307" spans="9:11" ht="15">
      <c r="I307" s="5"/>
      <c r="J307" s="5"/>
      <c r="K307" s="5"/>
    </row>
    <row r="308" spans="9:11" ht="15">
      <c r="I308" s="5"/>
      <c r="J308" s="5"/>
      <c r="K308" s="5"/>
    </row>
    <row r="309" spans="9:11" ht="15">
      <c r="I309" s="5"/>
      <c r="J309" s="5"/>
      <c r="K309" s="5"/>
    </row>
    <row r="310" spans="9:11" ht="15">
      <c r="I310" s="5"/>
      <c r="J310" s="5"/>
      <c r="K310" s="5"/>
    </row>
    <row r="311" spans="9:11" ht="15">
      <c r="I311" s="5"/>
      <c r="J311" s="5"/>
      <c r="K311" s="5"/>
    </row>
    <row r="312" spans="9:11" ht="15">
      <c r="I312" s="5"/>
      <c r="J312" s="5"/>
      <c r="K312" s="5"/>
    </row>
    <row r="313" spans="9:11" ht="15">
      <c r="I313" s="5"/>
      <c r="J313" s="5"/>
      <c r="K313" s="5"/>
    </row>
    <row r="314" spans="9:11" ht="15">
      <c r="I314" s="5"/>
      <c r="J314" s="5"/>
      <c r="K314" s="5"/>
    </row>
    <row r="315" spans="9:11" ht="15">
      <c r="I315" s="5"/>
      <c r="J315" s="5"/>
      <c r="K315" s="5"/>
    </row>
    <row r="316" spans="9:11" ht="15">
      <c r="I316" s="5"/>
      <c r="J316" s="5"/>
      <c r="K316" s="5"/>
    </row>
    <row r="317" spans="9:11" ht="15">
      <c r="I317" s="5"/>
      <c r="J317" s="5"/>
      <c r="K317" s="5"/>
    </row>
    <row r="318" spans="9:11" ht="15">
      <c r="I318" s="5"/>
      <c r="J318" s="5"/>
      <c r="K318" s="5"/>
    </row>
    <row r="319" spans="9:11" ht="15">
      <c r="I319" s="5"/>
      <c r="J319" s="5"/>
      <c r="K319" s="5"/>
    </row>
    <row r="320" spans="9:11" ht="15">
      <c r="I320" s="5"/>
      <c r="J320" s="5"/>
      <c r="K320" s="5"/>
    </row>
    <row r="321" spans="9:11" ht="15">
      <c r="I321" s="5"/>
      <c r="J321" s="5"/>
      <c r="K321" s="5"/>
    </row>
    <row r="322" spans="9:11" ht="15">
      <c r="I322" s="5"/>
      <c r="J322" s="5"/>
      <c r="K322" s="5"/>
    </row>
    <row r="323" spans="9:11" ht="15">
      <c r="I323" s="5"/>
      <c r="J323" s="5"/>
      <c r="K323" s="5"/>
    </row>
    <row r="324" spans="9:11" ht="15">
      <c r="I324" s="5"/>
      <c r="J324" s="5"/>
      <c r="K324" s="5"/>
    </row>
    <row r="325" spans="9:11" ht="15">
      <c r="I325" s="5"/>
      <c r="J325" s="5"/>
      <c r="K325" s="5"/>
    </row>
    <row r="326" spans="9:11" ht="15">
      <c r="I326" s="5"/>
      <c r="J326" s="5"/>
      <c r="K326" s="5"/>
    </row>
    <row r="327" spans="9:11" ht="15">
      <c r="I327" s="5"/>
      <c r="J327" s="5"/>
      <c r="K327" s="5"/>
    </row>
    <row r="328" spans="9:11" ht="15">
      <c r="I328" s="5"/>
      <c r="J328" s="5"/>
      <c r="K328" s="5"/>
    </row>
    <row r="329" spans="9:11" ht="15">
      <c r="I329" s="5"/>
      <c r="J329" s="5"/>
      <c r="K329" s="5"/>
    </row>
    <row r="330" spans="9:11" ht="15">
      <c r="I330" s="5"/>
      <c r="J330" s="5"/>
      <c r="K330" s="5"/>
    </row>
    <row r="331" spans="9:11" ht="15">
      <c r="I331" s="5"/>
      <c r="J331" s="5"/>
      <c r="K331" s="5"/>
    </row>
    <row r="332" spans="9:11" ht="15">
      <c r="I332" s="5"/>
      <c r="J332" s="5"/>
      <c r="K332" s="5"/>
    </row>
    <row r="333" spans="9:11" ht="15">
      <c r="I333" s="5"/>
      <c r="J333" s="5"/>
      <c r="K333" s="5"/>
    </row>
    <row r="334" spans="9:11" ht="15">
      <c r="I334" s="5"/>
      <c r="J334" s="5"/>
      <c r="K334" s="5"/>
    </row>
    <row r="335" spans="9:11" ht="15">
      <c r="I335" s="5"/>
      <c r="J335" s="5"/>
      <c r="K335" s="5"/>
    </row>
    <row r="336" spans="9:11" ht="15">
      <c r="I336" s="5"/>
      <c r="J336" s="5"/>
      <c r="K336" s="5"/>
    </row>
    <row r="337" spans="9:11" ht="15">
      <c r="I337" s="5"/>
      <c r="J337" s="5"/>
      <c r="K337" s="5"/>
    </row>
    <row r="338" spans="9:11" ht="15">
      <c r="I338" s="5"/>
      <c r="J338" s="5"/>
      <c r="K338" s="5"/>
    </row>
    <row r="339" spans="9:11" ht="15">
      <c r="I339" s="5"/>
      <c r="J339" s="5"/>
      <c r="K339" s="5"/>
    </row>
    <row r="340" spans="9:11" ht="15">
      <c r="I340" s="5"/>
      <c r="J340" s="5"/>
      <c r="K340" s="5"/>
    </row>
    <row r="341" spans="9:11" ht="15">
      <c r="I341" s="5"/>
      <c r="J341" s="5"/>
      <c r="K341" s="5"/>
    </row>
    <row r="342" spans="9:11" ht="15">
      <c r="I342" s="5"/>
      <c r="J342" s="5"/>
      <c r="K342" s="5"/>
    </row>
    <row r="343" spans="9:11" ht="15">
      <c r="I343" s="5"/>
      <c r="J343" s="5"/>
      <c r="K343" s="5"/>
    </row>
    <row r="344" spans="9:11" ht="15">
      <c r="I344" s="5"/>
      <c r="J344" s="5"/>
      <c r="K344" s="5"/>
    </row>
    <row r="345" spans="9:11" ht="15">
      <c r="I345" s="5"/>
      <c r="J345" s="5"/>
      <c r="K345" s="5"/>
    </row>
    <row r="346" spans="9:11" ht="15">
      <c r="I346" s="5"/>
      <c r="J346" s="5"/>
      <c r="K346" s="5"/>
    </row>
    <row r="347" spans="9:11" ht="15">
      <c r="I347" s="5"/>
      <c r="J347" s="5"/>
      <c r="K347" s="5"/>
    </row>
    <row r="348" spans="9:11" ht="15">
      <c r="I348" s="5"/>
      <c r="J348" s="5"/>
      <c r="K348" s="5"/>
    </row>
    <row r="349" spans="9:11" ht="15">
      <c r="I349" s="5"/>
      <c r="J349" s="5"/>
      <c r="K349" s="5"/>
    </row>
    <row r="350" spans="9:11" ht="15">
      <c r="I350" s="5"/>
      <c r="J350" s="5"/>
      <c r="K350" s="5"/>
    </row>
    <row r="351" spans="9:11" ht="15">
      <c r="I351" s="5"/>
      <c r="J351" s="5"/>
      <c r="K351" s="5"/>
    </row>
    <row r="352" spans="9:11" ht="15">
      <c r="I352" s="5"/>
      <c r="J352" s="5"/>
      <c r="K352" s="5"/>
    </row>
    <row r="353" spans="9:11" ht="15">
      <c r="I353" s="5"/>
      <c r="J353" s="5"/>
      <c r="K353" s="5"/>
    </row>
    <row r="354" spans="9:11" ht="15">
      <c r="I354" s="5"/>
      <c r="J354" s="5"/>
      <c r="K354" s="5"/>
    </row>
    <row r="355" spans="9:11" ht="15">
      <c r="I355" s="5"/>
      <c r="J355" s="5"/>
      <c r="K355" s="5"/>
    </row>
    <row r="356" spans="9:11" ht="15">
      <c r="I356" s="5"/>
      <c r="J356" s="5"/>
      <c r="K356" s="5"/>
    </row>
    <row r="357" spans="9:11" ht="15">
      <c r="I357" s="5"/>
      <c r="J357" s="5"/>
      <c r="K357" s="5"/>
    </row>
    <row r="358" spans="9:11" ht="15">
      <c r="I358" s="5"/>
      <c r="J358" s="5"/>
      <c r="K358" s="5"/>
    </row>
    <row r="359" spans="9:11" ht="15">
      <c r="I359" s="5"/>
      <c r="J359" s="5"/>
      <c r="K359" s="5"/>
    </row>
    <row r="360" spans="9:11" ht="15">
      <c r="I360" s="5"/>
      <c r="J360" s="5"/>
      <c r="K360" s="5"/>
    </row>
    <row r="361" spans="9:11" ht="15">
      <c r="I361" s="5"/>
      <c r="J361" s="5"/>
      <c r="K361" s="5"/>
    </row>
    <row r="362" spans="9:11" ht="15">
      <c r="I362" s="5"/>
      <c r="J362" s="5"/>
      <c r="K362" s="5"/>
    </row>
    <row r="363" spans="9:11" ht="15">
      <c r="I363" s="5"/>
      <c r="J363" s="5"/>
      <c r="K363" s="5"/>
    </row>
    <row r="364" spans="9:11" ht="15">
      <c r="I364" s="5"/>
      <c r="J364" s="5"/>
      <c r="K364" s="5"/>
    </row>
    <row r="365" spans="9:11" ht="15">
      <c r="I365" s="5"/>
      <c r="J365" s="5"/>
      <c r="K365" s="5"/>
    </row>
    <row r="366" spans="9:11" ht="15">
      <c r="I366" s="5"/>
      <c r="J366" s="5"/>
      <c r="K366" s="5"/>
    </row>
    <row r="367" spans="9:11" ht="15">
      <c r="I367" s="5"/>
      <c r="J367" s="5"/>
      <c r="K367" s="5"/>
    </row>
    <row r="368" spans="9:11" ht="15">
      <c r="I368" s="5"/>
      <c r="J368" s="5"/>
      <c r="K368" s="5"/>
    </row>
    <row r="369" spans="9:11" ht="15">
      <c r="I369" s="5"/>
      <c r="J369" s="5"/>
      <c r="K369" s="5"/>
    </row>
    <row r="370" spans="9:11" ht="15">
      <c r="I370" s="5"/>
      <c r="J370" s="5"/>
      <c r="K370" s="5"/>
    </row>
    <row r="371" spans="9:11" ht="15">
      <c r="I371" s="5"/>
      <c r="J371" s="5"/>
      <c r="K371" s="5"/>
    </row>
    <row r="372" spans="9:11" ht="15">
      <c r="I372" s="5"/>
      <c r="J372" s="5"/>
      <c r="K372" s="5"/>
    </row>
    <row r="373" spans="9:11" ht="15">
      <c r="I373" s="5"/>
      <c r="J373" s="5"/>
      <c r="K373" s="5"/>
    </row>
    <row r="374" spans="9:11" ht="15">
      <c r="I374" s="5"/>
      <c r="J374" s="5"/>
      <c r="K374" s="5"/>
    </row>
    <row r="375" spans="9:11" ht="15">
      <c r="I375" s="5"/>
      <c r="J375" s="5"/>
      <c r="K375" s="5"/>
    </row>
    <row r="376" spans="9:11" ht="15">
      <c r="I376" s="5"/>
      <c r="J376" s="5"/>
      <c r="K376" s="5"/>
    </row>
    <row r="377" spans="9:11" ht="15">
      <c r="I377" s="5"/>
      <c r="J377" s="5"/>
      <c r="K377" s="5"/>
    </row>
    <row r="378" spans="9:11" ht="15">
      <c r="I378" s="5"/>
      <c r="J378" s="5"/>
      <c r="K378" s="5"/>
    </row>
    <row r="379" spans="9:11" ht="15">
      <c r="I379" s="5"/>
      <c r="J379" s="5"/>
      <c r="K379" s="5"/>
    </row>
    <row r="380" spans="9:11" ht="15">
      <c r="I380" s="5"/>
      <c r="J380" s="5"/>
      <c r="K380" s="5"/>
    </row>
    <row r="381" spans="9:11" ht="15">
      <c r="I381" s="5"/>
      <c r="J381" s="5"/>
      <c r="K381" s="5"/>
    </row>
    <row r="382" spans="9:11" ht="15">
      <c r="I382" s="5"/>
      <c r="J382" s="5"/>
      <c r="K382" s="5"/>
    </row>
    <row r="383" spans="9:11" ht="15">
      <c r="I383" s="5"/>
      <c r="J383" s="5"/>
      <c r="K383" s="5"/>
    </row>
    <row r="384" spans="9:11" ht="15">
      <c r="I384" s="5"/>
      <c r="J384" s="5"/>
      <c r="K384" s="5"/>
    </row>
    <row r="385" spans="9:11" ht="15">
      <c r="I385" s="5"/>
      <c r="J385" s="5"/>
      <c r="K385" s="5"/>
    </row>
    <row r="386" spans="9:11" ht="15">
      <c r="I386" s="5"/>
      <c r="J386" s="5"/>
      <c r="K386" s="5"/>
    </row>
    <row r="387" spans="9:11" ht="15">
      <c r="I387" s="5"/>
      <c r="J387" s="5"/>
      <c r="K387" s="5"/>
    </row>
    <row r="388" spans="9:11" ht="15">
      <c r="I388" s="5"/>
      <c r="J388" s="5"/>
      <c r="K388" s="5"/>
    </row>
    <row r="389" spans="9:11" ht="15">
      <c r="I389" s="5"/>
      <c r="J389" s="5"/>
      <c r="K389" s="5"/>
    </row>
    <row r="390" spans="9:11" ht="15">
      <c r="I390" s="5"/>
      <c r="J390" s="5"/>
      <c r="K390" s="5"/>
    </row>
    <row r="391" spans="9:11" ht="15">
      <c r="I391" s="5"/>
      <c r="J391" s="5"/>
      <c r="K391" s="5"/>
    </row>
    <row r="392" spans="9:11" ht="15">
      <c r="I392" s="5"/>
      <c r="J392" s="5"/>
      <c r="K392" s="5"/>
    </row>
    <row r="393" spans="9:11" ht="15">
      <c r="I393" s="5"/>
      <c r="J393" s="5"/>
      <c r="K393" s="5"/>
    </row>
    <row r="394" spans="9:11" ht="15">
      <c r="I394" s="5"/>
      <c r="J394" s="5"/>
      <c r="K394" s="5"/>
    </row>
    <row r="395" spans="9:11" ht="15">
      <c r="I395" s="5"/>
      <c r="J395" s="5"/>
      <c r="K395" s="5"/>
    </row>
    <row r="396" spans="9:11" ht="15">
      <c r="I396" s="5"/>
      <c r="J396" s="5"/>
      <c r="K396" s="5"/>
    </row>
    <row r="397" spans="9:11" ht="15">
      <c r="I397" s="5"/>
      <c r="J397" s="5"/>
      <c r="K397" s="5"/>
    </row>
    <row r="398" spans="9:11" ht="15">
      <c r="I398" s="5"/>
      <c r="J398" s="5"/>
      <c r="K398" s="5"/>
    </row>
    <row r="399" spans="9:11" ht="15">
      <c r="I399" s="5"/>
      <c r="J399" s="5"/>
      <c r="K399" s="5"/>
    </row>
    <row r="400" spans="9:11" ht="15">
      <c r="I400" s="5"/>
      <c r="J400" s="5"/>
      <c r="K400" s="5"/>
    </row>
    <row r="401" spans="9:11" ht="15">
      <c r="I401" s="5"/>
      <c r="J401" s="5"/>
      <c r="K401" s="5"/>
    </row>
    <row r="402" spans="9:11" ht="15">
      <c r="I402" s="5"/>
      <c r="J402" s="5"/>
      <c r="K402" s="5"/>
    </row>
    <row r="403" spans="9:11" ht="15">
      <c r="I403" s="5"/>
      <c r="J403" s="5"/>
      <c r="K403" s="5"/>
    </row>
    <row r="404" spans="9:11" ht="15">
      <c r="I404" s="5"/>
      <c r="J404" s="5"/>
      <c r="K404" s="5"/>
    </row>
    <row r="405" spans="9:11" ht="15">
      <c r="I405" s="5"/>
      <c r="J405" s="5"/>
      <c r="K405" s="5"/>
    </row>
    <row r="406" spans="9:11" ht="15">
      <c r="I406" s="5"/>
      <c r="J406" s="5"/>
      <c r="K406" s="5"/>
    </row>
    <row r="407" spans="9:11" ht="15">
      <c r="I407" s="5"/>
      <c r="J407" s="5"/>
      <c r="K407" s="5"/>
    </row>
    <row r="408" spans="9:11" ht="15">
      <c r="I408" s="5"/>
      <c r="J408" s="5"/>
      <c r="K408" s="5"/>
    </row>
    <row r="409" spans="9:11" ht="15">
      <c r="I409" s="5"/>
      <c r="J409" s="5"/>
      <c r="K409" s="5"/>
    </row>
    <row r="410" spans="9:11" ht="15">
      <c r="I410" s="5"/>
      <c r="J410" s="5"/>
      <c r="K410" s="5"/>
    </row>
    <row r="411" spans="9:11" ht="15">
      <c r="I411" s="5"/>
      <c r="J411" s="5"/>
      <c r="K411" s="5"/>
    </row>
    <row r="412" spans="9:11" ht="15">
      <c r="I412" s="5"/>
      <c r="J412" s="5"/>
      <c r="K412" s="5"/>
    </row>
    <row r="413" spans="9:11" ht="15">
      <c r="I413" s="5"/>
      <c r="J413" s="5"/>
      <c r="K413" s="5"/>
    </row>
    <row r="414" spans="9:11" ht="15">
      <c r="I414" s="5"/>
      <c r="J414" s="5"/>
      <c r="K414" s="5"/>
    </row>
    <row r="415" spans="9:11" ht="15">
      <c r="I415" s="5"/>
      <c r="J415" s="5"/>
      <c r="K415" s="5"/>
    </row>
    <row r="416" spans="9:11" ht="15">
      <c r="I416" s="5"/>
      <c r="J416" s="5"/>
      <c r="K416" s="5"/>
    </row>
    <row r="417" spans="9:11" ht="15">
      <c r="I417" s="5"/>
      <c r="J417" s="5"/>
      <c r="K417" s="5"/>
    </row>
    <row r="418" spans="9:11" ht="15">
      <c r="I418" s="5"/>
      <c r="J418" s="5"/>
      <c r="K418" s="5"/>
    </row>
    <row r="419" spans="9:11" ht="15">
      <c r="I419" s="5"/>
      <c r="J419" s="5"/>
      <c r="K419" s="5"/>
    </row>
    <row r="420" spans="9:11" ht="15">
      <c r="I420" s="5"/>
      <c r="J420" s="5"/>
      <c r="K420" s="5"/>
    </row>
    <row r="421" spans="9:11" ht="15">
      <c r="I421" s="5"/>
      <c r="J421" s="5"/>
      <c r="K421" s="5"/>
    </row>
    <row r="422" spans="9:11" ht="15">
      <c r="I422" s="5"/>
      <c r="J422" s="5"/>
      <c r="K422" s="5"/>
    </row>
    <row r="423" spans="9:11" ht="15">
      <c r="I423" s="5"/>
      <c r="J423" s="5"/>
      <c r="K423" s="5"/>
    </row>
    <row r="424" spans="9:11" ht="15">
      <c r="I424" s="5"/>
      <c r="J424" s="5"/>
      <c r="K424" s="5"/>
    </row>
    <row r="425" spans="9:11" ht="15">
      <c r="I425" s="5"/>
      <c r="J425" s="5"/>
      <c r="K425" s="5"/>
    </row>
    <row r="426" spans="9:11" ht="15">
      <c r="I426" s="5"/>
      <c r="J426" s="5"/>
      <c r="K426" s="5"/>
    </row>
    <row r="427" spans="9:11" ht="15">
      <c r="I427" s="5"/>
      <c r="J427" s="5"/>
      <c r="K427" s="5"/>
    </row>
    <row r="428" spans="9:11" ht="15">
      <c r="I428" s="5"/>
      <c r="J428" s="5"/>
      <c r="K428" s="5"/>
    </row>
    <row r="429" spans="9:11" ht="15">
      <c r="I429" s="5"/>
      <c r="J429" s="5"/>
      <c r="K429" s="5"/>
    </row>
    <row r="430" spans="9:11" ht="15">
      <c r="I430" s="5"/>
      <c r="J430" s="5"/>
      <c r="K430" s="5"/>
    </row>
    <row r="431" spans="9:11" ht="15">
      <c r="I431" s="5"/>
      <c r="J431" s="5"/>
      <c r="K431" s="5"/>
    </row>
    <row r="432" spans="9:11" ht="15">
      <c r="I432" s="5"/>
      <c r="J432" s="5"/>
      <c r="K432" s="5"/>
    </row>
    <row r="433" spans="9:11" ht="15">
      <c r="I433" s="5"/>
      <c r="J433" s="5"/>
      <c r="K433" s="5"/>
    </row>
    <row r="434" spans="9:11" ht="15">
      <c r="I434" s="5"/>
      <c r="J434" s="5"/>
      <c r="K434" s="5"/>
    </row>
    <row r="435" spans="9:11" ht="15">
      <c r="I435" s="5"/>
      <c r="J435" s="5"/>
      <c r="K435" s="5"/>
    </row>
    <row r="436" spans="9:11" ht="15">
      <c r="I436" s="5"/>
      <c r="J436" s="5"/>
      <c r="K436" s="5"/>
    </row>
    <row r="437" spans="9:11" ht="15">
      <c r="I437" s="5"/>
      <c r="J437" s="5"/>
      <c r="K437" s="5"/>
    </row>
    <row r="438" spans="9:11" ht="15">
      <c r="I438" s="5"/>
      <c r="J438" s="5"/>
      <c r="K438" s="5"/>
    </row>
    <row r="439" spans="9:11" ht="15">
      <c r="I439" s="5"/>
      <c r="J439" s="5"/>
      <c r="K439" s="5"/>
    </row>
    <row r="440" spans="9:11" ht="15">
      <c r="I440" s="5"/>
      <c r="J440" s="5"/>
      <c r="K440" s="5"/>
    </row>
    <row r="441" spans="9:11" ht="15">
      <c r="I441" s="5"/>
      <c r="J441" s="5"/>
      <c r="K441" s="5"/>
    </row>
    <row r="442" spans="9:11" ht="15">
      <c r="I442" s="5"/>
      <c r="J442" s="5"/>
      <c r="K442" s="5"/>
    </row>
    <row r="443" spans="9:11" ht="15">
      <c r="I443" s="5"/>
      <c r="J443" s="5"/>
      <c r="K443" s="5"/>
    </row>
    <row r="444" spans="9:11" ht="15">
      <c r="I444" s="5"/>
      <c r="J444" s="5"/>
      <c r="K444" s="5"/>
    </row>
    <row r="445" spans="9:11" ht="15">
      <c r="I445" s="5"/>
      <c r="J445" s="5"/>
      <c r="K445" s="5"/>
    </row>
    <row r="446" spans="9:11" ht="15">
      <c r="I446" s="5"/>
      <c r="J446" s="5"/>
      <c r="K446" s="5"/>
    </row>
    <row r="447" spans="9:11" ht="15">
      <c r="I447" s="5"/>
      <c r="J447" s="5"/>
      <c r="K447" s="5"/>
    </row>
    <row r="448" spans="9:11" ht="15">
      <c r="I448" s="5"/>
      <c r="J448" s="5"/>
      <c r="K448" s="5"/>
    </row>
    <row r="449" spans="9:11" ht="15">
      <c r="I449" s="5"/>
      <c r="J449" s="5"/>
      <c r="K449" s="5"/>
    </row>
    <row r="450" spans="9:11" ht="15">
      <c r="I450" s="5"/>
      <c r="J450" s="5"/>
      <c r="K450" s="5"/>
    </row>
    <row r="451" spans="9:11" ht="15">
      <c r="I451" s="5"/>
      <c r="J451" s="5"/>
      <c r="K451" s="5"/>
    </row>
    <row r="452" spans="9:11" ht="15">
      <c r="I452" s="5"/>
      <c r="J452" s="5"/>
      <c r="K452" s="5"/>
    </row>
    <row r="453" spans="9:11" ht="15">
      <c r="I453" s="5"/>
      <c r="J453" s="5"/>
      <c r="K453" s="5"/>
    </row>
    <row r="454" spans="9:11" ht="15">
      <c r="I454" s="5"/>
      <c r="J454" s="5"/>
      <c r="K454" s="5"/>
    </row>
    <row r="455" spans="9:11" ht="15">
      <c r="I455" s="5"/>
      <c r="J455" s="5"/>
      <c r="K455" s="5"/>
    </row>
    <row r="456" spans="9:11" ht="15">
      <c r="I456" s="5"/>
      <c r="J456" s="5"/>
      <c r="K456" s="5"/>
    </row>
    <row r="457" spans="9:11" ht="15">
      <c r="I457" s="5"/>
      <c r="J457" s="5"/>
      <c r="K457" s="5"/>
    </row>
    <row r="458" spans="9:11" ht="15">
      <c r="I458" s="5"/>
      <c r="J458" s="5"/>
      <c r="K458" s="5"/>
    </row>
    <row r="459" spans="9:11" ht="15">
      <c r="I459" s="5"/>
      <c r="J459" s="5"/>
      <c r="K459" s="5"/>
    </row>
    <row r="460" spans="9:11" ht="15">
      <c r="I460" s="5"/>
      <c r="J460" s="5"/>
      <c r="K460" s="5"/>
    </row>
    <row r="461" spans="9:11" ht="15">
      <c r="I461" s="5"/>
      <c r="J461" s="5"/>
      <c r="K461" s="5"/>
    </row>
    <row r="462" spans="9:11" ht="15">
      <c r="I462" s="5"/>
      <c r="J462" s="5"/>
      <c r="K462" s="5"/>
    </row>
    <row r="463" spans="9:11" ht="15">
      <c r="I463" s="5"/>
      <c r="J463" s="5"/>
      <c r="K463" s="5"/>
    </row>
    <row r="464" spans="9:11" ht="15">
      <c r="I464" s="5"/>
      <c r="J464" s="5"/>
      <c r="K464" s="5"/>
    </row>
    <row r="465" spans="9:11" ht="15">
      <c r="I465" s="5"/>
      <c r="J465" s="5"/>
      <c r="K465" s="5"/>
    </row>
    <row r="466" spans="9:11" ht="15">
      <c r="I466" s="5"/>
      <c r="J466" s="5"/>
      <c r="K466" s="5"/>
    </row>
    <row r="467" spans="9:11" ht="15">
      <c r="I467" s="5"/>
      <c r="J467" s="5"/>
      <c r="K467" s="5"/>
    </row>
    <row r="468" spans="9:11" ht="15">
      <c r="I468" s="5"/>
      <c r="J468" s="5"/>
      <c r="K468" s="5"/>
    </row>
    <row r="469" spans="9:11" ht="15">
      <c r="I469" s="5"/>
      <c r="J469" s="5"/>
      <c r="K469" s="5"/>
    </row>
    <row r="470" spans="9:11" ht="15">
      <c r="I470" s="5"/>
      <c r="J470" s="5"/>
      <c r="K470" s="5"/>
    </row>
    <row r="471" spans="9:11" ht="15">
      <c r="I471" s="5"/>
      <c r="J471" s="5"/>
      <c r="K471" s="5"/>
    </row>
    <row r="472" spans="9:11" ht="15">
      <c r="I472" s="5"/>
      <c r="J472" s="5"/>
      <c r="K472" s="5"/>
    </row>
    <row r="473" spans="9:11" ht="15">
      <c r="I473" s="5"/>
      <c r="J473" s="5"/>
      <c r="K473" s="5"/>
    </row>
    <row r="474" spans="9:11" ht="15">
      <c r="I474" s="5"/>
      <c r="J474" s="5"/>
      <c r="K474" s="5"/>
    </row>
    <row r="475" spans="9:11" ht="15">
      <c r="I475" s="5"/>
      <c r="J475" s="5"/>
      <c r="K475" s="5"/>
    </row>
    <row r="476" spans="9:11" ht="15">
      <c r="I476" s="5"/>
      <c r="J476" s="5"/>
      <c r="K476" s="5"/>
    </row>
    <row r="477" spans="9:11" ht="15">
      <c r="I477" s="5"/>
      <c r="J477" s="5"/>
      <c r="K477" s="5"/>
    </row>
    <row r="478" spans="9:11" ht="15">
      <c r="I478" s="5"/>
      <c r="J478" s="5"/>
      <c r="K478" s="5"/>
    </row>
    <row r="479" spans="9:11" ht="15">
      <c r="I479" s="5"/>
      <c r="J479" s="5"/>
      <c r="K479" s="5"/>
    </row>
    <row r="480" spans="9:11" ht="15">
      <c r="I480" s="5"/>
      <c r="J480" s="5"/>
      <c r="K480" s="5"/>
    </row>
    <row r="481" spans="9:11" ht="15">
      <c r="I481" s="5"/>
      <c r="J481" s="5"/>
      <c r="K481" s="5"/>
    </row>
    <row r="482" spans="9:11" ht="15">
      <c r="I482" s="5"/>
      <c r="J482" s="5"/>
      <c r="K482" s="5"/>
    </row>
    <row r="483" spans="9:11" ht="15">
      <c r="I483" s="5"/>
      <c r="J483" s="5"/>
      <c r="K483" s="5"/>
    </row>
    <row r="484" spans="9:11" ht="15">
      <c r="I484" s="5"/>
      <c r="J484" s="5"/>
      <c r="K484" s="5"/>
    </row>
    <row r="485" spans="9:11" ht="15">
      <c r="I485" s="5"/>
      <c r="J485" s="5"/>
      <c r="K485" s="5"/>
    </row>
    <row r="486" spans="9:11" ht="15">
      <c r="I486" s="5"/>
      <c r="J486" s="5"/>
      <c r="K486" s="5"/>
    </row>
    <row r="487" spans="9:11" ht="15">
      <c r="I487" s="5"/>
      <c r="J487" s="5"/>
      <c r="K487" s="5"/>
    </row>
    <row r="488" spans="9:11" ht="15">
      <c r="I488" s="5"/>
      <c r="J488" s="5"/>
      <c r="K488" s="5"/>
    </row>
    <row r="489" spans="9:11" ht="15">
      <c r="I489" s="5"/>
      <c r="J489" s="5"/>
      <c r="K489" s="5"/>
    </row>
    <row r="490" spans="9:11" ht="15">
      <c r="I490" s="5"/>
      <c r="J490" s="5"/>
      <c r="K490" s="5"/>
    </row>
    <row r="491" spans="9:11" ht="15">
      <c r="I491" s="5"/>
      <c r="J491" s="5"/>
      <c r="K491" s="5"/>
    </row>
    <row r="492" spans="9:11" ht="15">
      <c r="I492" s="5"/>
      <c r="J492" s="5"/>
      <c r="K492" s="5"/>
    </row>
    <row r="493" spans="9:11" ht="15">
      <c r="I493" s="5"/>
      <c r="J493" s="5"/>
      <c r="K493" s="5"/>
    </row>
    <row r="494" spans="9:11" ht="15">
      <c r="I494" s="5"/>
      <c r="J494" s="5"/>
      <c r="K494" s="5"/>
    </row>
    <row r="495" spans="9:11" ht="15">
      <c r="I495" s="5"/>
      <c r="J495" s="5"/>
      <c r="K495" s="5"/>
    </row>
    <row r="496" spans="9:11" ht="15">
      <c r="I496" s="5"/>
      <c r="J496" s="5"/>
      <c r="K496" s="5"/>
    </row>
    <row r="497" spans="9:11" ht="15">
      <c r="I497" s="5"/>
      <c r="J497" s="5"/>
      <c r="K497" s="5"/>
    </row>
    <row r="498" spans="9:11" ht="15">
      <c r="I498" s="5"/>
      <c r="J498" s="5"/>
      <c r="K498" s="5"/>
    </row>
    <row r="499" spans="9:11" ht="15">
      <c r="I499" s="5"/>
      <c r="J499" s="5"/>
      <c r="K499" s="5"/>
    </row>
    <row r="500" spans="9:11" ht="15">
      <c r="I500" s="5"/>
      <c r="J500" s="5"/>
      <c r="K500" s="5"/>
    </row>
  </sheetData>
  <mergeCells count="2">
    <mergeCell ref="F20:I20"/>
    <mergeCell ref="F30:I30"/>
  </mergeCells>
  <hyperlinks>
    <hyperlink ref="H1" location="Contents!A1" display="Back to Table of Contents"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50"/>
  <sheetViews>
    <sheetView zoomScale="90" zoomScaleNormal="90" workbookViewId="0">
      <selection activeCell="H25" sqref="H25:H37"/>
    </sheetView>
  </sheetViews>
  <sheetFormatPr defaultColWidth="10.625" defaultRowHeight="14.25"/>
  <cols>
    <col min="1" max="1" width="14.625" customWidth="1"/>
    <col min="4" max="4" width="11.625" customWidth="1"/>
    <col min="5" max="5" width="2.125" customWidth="1"/>
    <col min="6" max="6" width="27.625" customWidth="1"/>
    <col min="7" max="7" width="9.625" customWidth="1"/>
    <col min="8" max="14" width="12.625" customWidth="1"/>
    <col min="17" max="17" width="9.375" customWidth="1"/>
    <col min="18" max="18" width="9" customWidth="1"/>
    <col min="19" max="19" width="9.125" customWidth="1"/>
  </cols>
  <sheetData>
    <row r="1" spans="1:22" ht="57" customHeight="1">
      <c r="A1" s="13" t="s">
        <v>118</v>
      </c>
      <c r="H1" s="134" t="str">
        <f>HYPERLINK("#'Contents'!A1", "Back to Table of Contents")</f>
        <v>Back to Table of Contents</v>
      </c>
    </row>
    <row r="2" spans="1:22" ht="18" customHeight="1">
      <c r="A2" s="130" t="s">
        <v>357</v>
      </c>
      <c r="B2" s="132"/>
      <c r="C2" s="132"/>
      <c r="D2" s="132"/>
      <c r="E2" s="132"/>
      <c r="F2" s="132"/>
      <c r="G2" s="132"/>
      <c r="H2" s="132"/>
      <c r="I2" s="132"/>
      <c r="J2" s="132"/>
      <c r="K2" s="132"/>
      <c r="L2" s="132"/>
      <c r="M2" s="132"/>
      <c r="N2" s="132"/>
      <c r="O2" s="132"/>
      <c r="P2" s="132"/>
    </row>
    <row r="3" spans="1:22"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22" ht="18" customHeight="1">
      <c r="A4" s="129">
        <f>MONTH(A2)</f>
        <v>3</v>
      </c>
      <c r="B4" s="129" t="s">
        <v>358</v>
      </c>
      <c r="C4" s="132"/>
      <c r="D4" s="132"/>
      <c r="E4" s="132"/>
      <c r="F4" s="131"/>
      <c r="G4" s="132"/>
      <c r="H4" s="132"/>
      <c r="I4" s="132"/>
      <c r="J4" s="132"/>
      <c r="K4" s="132"/>
      <c r="L4" s="132"/>
      <c r="M4" s="132"/>
      <c r="N4" s="132"/>
      <c r="O4" s="132"/>
      <c r="P4" s="132"/>
    </row>
    <row r="5" spans="1:22" ht="18" customHeight="1">
      <c r="B5" t="s">
        <v>358</v>
      </c>
      <c r="F5" s="30"/>
    </row>
    <row r="6" spans="1:22" ht="18" customHeight="1">
      <c r="B6" t="s">
        <v>358</v>
      </c>
      <c r="D6" s="29" t="s">
        <v>358</v>
      </c>
      <c r="F6" s="12" t="s">
        <v>77</v>
      </c>
      <c r="G6" s="62"/>
      <c r="H6" s="62" t="s">
        <v>0</v>
      </c>
      <c r="I6" s="62"/>
      <c r="J6" s="62"/>
      <c r="K6" s="62"/>
      <c r="L6" s="62"/>
      <c r="M6" s="62"/>
      <c r="N6" s="62"/>
      <c r="O6" s="62"/>
    </row>
    <row r="7" spans="1:22" ht="20.100000000000001" customHeight="1">
      <c r="B7" t="s">
        <v>358</v>
      </c>
      <c r="D7" s="29" t="s">
        <v>358</v>
      </c>
      <c r="F7" s="51"/>
      <c r="G7" s="52" t="s">
        <v>1</v>
      </c>
      <c r="H7" s="135">
        <f>H3</f>
        <v>2023</v>
      </c>
      <c r="I7" s="52" t="str">
        <f>CONCATENATE(I3," s")</f>
        <v>2024 s</v>
      </c>
      <c r="J7" s="52" t="str">
        <f>CONCATENATE(J3," f")</f>
        <v>2025 f</v>
      </c>
      <c r="K7" s="52" t="str">
        <f>CONCATENATE(K3," f")</f>
        <v>2026 f</v>
      </c>
      <c r="L7" s="52" t="str">
        <f>CONCATENATE(L3," z")</f>
        <v>2027 z</v>
      </c>
      <c r="M7" s="52" t="str">
        <f>CONCATENATE(M3," z")</f>
        <v>2028 z</v>
      </c>
      <c r="N7" s="52" t="str">
        <f>CONCATENATE(N3," z")</f>
        <v>2029 z</v>
      </c>
      <c r="O7" s="52" t="s">
        <v>184</v>
      </c>
    </row>
    <row r="8" spans="1:22" ht="27.95" customHeight="1">
      <c r="B8" t="s">
        <v>358</v>
      </c>
      <c r="F8" s="43" t="s">
        <v>30</v>
      </c>
      <c r="G8" s="32" t="s">
        <v>0</v>
      </c>
      <c r="H8" s="35"/>
      <c r="I8" s="35"/>
      <c r="J8" s="35"/>
      <c r="K8" s="35"/>
      <c r="L8" s="35"/>
      <c r="M8" s="35"/>
      <c r="N8" s="35"/>
    </row>
    <row r="9" spans="1:22" ht="20.100000000000001" customHeight="1">
      <c r="B9" t="s">
        <v>358</v>
      </c>
      <c r="F9" s="30" t="s">
        <v>226</v>
      </c>
      <c r="G9" s="32"/>
      <c r="H9" s="35"/>
      <c r="I9" s="35"/>
      <c r="J9" s="35"/>
      <c r="K9" s="35"/>
      <c r="L9" s="35"/>
      <c r="M9" s="35"/>
      <c r="N9" s="35"/>
    </row>
    <row r="10" spans="1:22" ht="27.95" customHeight="1">
      <c r="B10" t="s">
        <v>358</v>
      </c>
      <c r="F10" s="30" t="s">
        <v>227</v>
      </c>
      <c r="G10" s="32"/>
      <c r="H10" s="72"/>
      <c r="I10" s="72"/>
      <c r="J10" s="72"/>
      <c r="K10" s="72"/>
      <c r="L10" s="72"/>
      <c r="M10" s="72"/>
      <c r="N10" s="72"/>
    </row>
    <row r="11" spans="1:22" ht="20.100000000000001" customHeight="1">
      <c r="B11" s="29" t="s">
        <v>358</v>
      </c>
      <c r="F11" s="30" t="s">
        <v>41</v>
      </c>
      <c r="G11" s="32" t="s">
        <v>9</v>
      </c>
      <c r="H11" s="31">
        <v>104.645941712804</v>
      </c>
      <c r="I11" s="31">
        <v>94.769766709333098</v>
      </c>
      <c r="J11" s="31">
        <v>83.786993148518604</v>
      </c>
      <c r="K11" s="31">
        <v>76.834534068555399</v>
      </c>
      <c r="L11" s="31">
        <v>75</v>
      </c>
      <c r="M11" s="31">
        <v>75</v>
      </c>
      <c r="N11" s="31">
        <v>75</v>
      </c>
      <c r="O11" s="16">
        <f>((N11/H11)^(1/6)-1)*100</f>
        <v>-5.4002884570737546</v>
      </c>
    </row>
    <row r="12" spans="1:22" ht="20.100000000000001" customHeight="1">
      <c r="B12" s="29" t="s">
        <v>358</v>
      </c>
      <c r="F12" s="30" t="s">
        <v>229</v>
      </c>
      <c r="G12" s="32" t="s">
        <v>9</v>
      </c>
      <c r="H12" s="31">
        <v>106.948152430486</v>
      </c>
      <c r="I12" s="31">
        <v>94.769766709333297</v>
      </c>
      <c r="J12" s="31">
        <v>82.224723403845601</v>
      </c>
      <c r="K12" s="31">
        <v>73.811265240500404</v>
      </c>
      <c r="L12" s="31">
        <v>70.597432807928996</v>
      </c>
      <c r="M12" s="31">
        <v>69.123715199867803</v>
      </c>
      <c r="N12" s="31">
        <v>67.680761367512503</v>
      </c>
      <c r="O12" s="16">
        <f t="shared" ref="O12:O37" si="1">((N12/H12)^(1/6)-1)*100</f>
        <v>-7.3421984798981654</v>
      </c>
      <c r="Q12" s="73"/>
      <c r="R12" s="73"/>
      <c r="S12" s="73"/>
      <c r="T12" s="73"/>
      <c r="U12" s="73"/>
      <c r="V12" s="73"/>
    </row>
    <row r="13" spans="1:22" ht="27.95" customHeight="1">
      <c r="B13" t="s">
        <v>358</v>
      </c>
      <c r="F13" s="30" t="s">
        <v>228</v>
      </c>
      <c r="G13" s="32"/>
      <c r="H13" s="59"/>
      <c r="I13" s="59"/>
      <c r="J13" s="59"/>
      <c r="K13" s="59"/>
      <c r="L13" s="59"/>
      <c r="M13" s="59"/>
      <c r="N13" s="59"/>
      <c r="O13" s="16"/>
    </row>
    <row r="14" spans="1:22" ht="20.100000000000001" customHeight="1">
      <c r="B14" s="29" t="s">
        <v>358</v>
      </c>
      <c r="F14" s="30" t="s">
        <v>41</v>
      </c>
      <c r="G14" s="32" t="s">
        <v>9</v>
      </c>
      <c r="H14" s="31">
        <v>288.74461538461497</v>
      </c>
      <c r="I14" s="31">
        <v>281.77056379682602</v>
      </c>
      <c r="J14" s="31">
        <v>230.51811041028901</v>
      </c>
      <c r="K14" s="31">
        <v>208.12607203643199</v>
      </c>
      <c r="L14" s="31">
        <v>210.01355141007599</v>
      </c>
      <c r="M14" s="31">
        <v>210.00866296152</v>
      </c>
      <c r="N14" s="31">
        <v>205.66932731965801</v>
      </c>
      <c r="O14" s="16">
        <f t="shared" si="1"/>
        <v>-5.4976505879480548</v>
      </c>
    </row>
    <row r="15" spans="1:22" ht="20.100000000000001" customHeight="1">
      <c r="B15" s="29" t="s">
        <v>358</v>
      </c>
      <c r="F15" s="30" t="s">
        <v>229</v>
      </c>
      <c r="G15" s="32" t="s">
        <v>9</v>
      </c>
      <c r="H15" s="31">
        <v>295.09699692307697</v>
      </c>
      <c r="I15" s="31">
        <v>281.77056379682602</v>
      </c>
      <c r="J15" s="31">
        <v>226.21993170784</v>
      </c>
      <c r="K15" s="31">
        <v>199.93677182759799</v>
      </c>
      <c r="L15" s="31">
        <v>197.68556779236499</v>
      </c>
      <c r="M15" s="31">
        <v>193.554386774096</v>
      </c>
      <c r="N15" s="31">
        <v>185.598088839182</v>
      </c>
      <c r="O15" s="16">
        <f t="shared" si="1"/>
        <v>-7.4375619947649412</v>
      </c>
    </row>
    <row r="16" spans="1:22" ht="15.75" customHeight="1">
      <c r="B16" t="s">
        <v>358</v>
      </c>
      <c r="F16" s="30" t="s">
        <v>230</v>
      </c>
      <c r="H16" s="31"/>
      <c r="I16" s="31"/>
      <c r="J16" s="31"/>
      <c r="K16" s="31"/>
      <c r="L16" s="31"/>
      <c r="M16" s="31"/>
      <c r="N16" s="31"/>
      <c r="O16" s="16"/>
    </row>
    <row r="17" spans="1:19" ht="15.75" customHeight="1">
      <c r="B17" s="29" t="s">
        <v>358</v>
      </c>
      <c r="F17" s="30" t="s">
        <v>41</v>
      </c>
      <c r="G17" s="32" t="s">
        <v>9</v>
      </c>
      <c r="H17" s="31">
        <v>291.92931089743598</v>
      </c>
      <c r="I17" s="31">
        <v>277.17640996017298</v>
      </c>
      <c r="J17" s="31">
        <v>225.60740263855499</v>
      </c>
      <c r="K17" s="31">
        <v>207.57531279979699</v>
      </c>
      <c r="L17" s="31">
        <v>210.375293760083</v>
      </c>
      <c r="M17" s="31">
        <v>209.98616596141699</v>
      </c>
      <c r="N17" s="31">
        <v>204.82677921508301</v>
      </c>
      <c r="O17" s="16">
        <f t="shared" si="1"/>
        <v>-5.7347756130921468</v>
      </c>
    </row>
    <row r="18" spans="1:19" ht="15.75" customHeight="1">
      <c r="B18" s="29" t="s">
        <v>358</v>
      </c>
      <c r="F18" s="30" t="s">
        <v>229</v>
      </c>
      <c r="G18" s="32" t="s">
        <v>9</v>
      </c>
      <c r="H18" s="31">
        <v>298.35175573717999</v>
      </c>
      <c r="I18" s="31">
        <v>277.17640996017298</v>
      </c>
      <c r="J18" s="31">
        <v>221.400787672772</v>
      </c>
      <c r="K18" s="31">
        <v>199.40768374771699</v>
      </c>
      <c r="L18" s="31">
        <v>198.02607554234399</v>
      </c>
      <c r="M18" s="31">
        <v>193.53365242439</v>
      </c>
      <c r="N18" s="31">
        <v>184.83776487642999</v>
      </c>
      <c r="O18" s="16">
        <f t="shared" si="1"/>
        <v>-7.6698193997495441</v>
      </c>
    </row>
    <row r="19" spans="1:19" ht="0.95" customHeight="1">
      <c r="A19" s="132"/>
      <c r="B19" s="129" t="s">
        <v>358</v>
      </c>
      <c r="C19" s="132"/>
      <c r="D19" s="132"/>
      <c r="E19" s="132"/>
      <c r="F19" s="131"/>
      <c r="G19" s="132"/>
      <c r="H19" s="133" t="str">
        <f t="shared" ref="H19:N19" si="2">CONCATENATE(H$3-1,"-",RIGHT(H$3,2))</f>
        <v>2022-23</v>
      </c>
      <c r="I19" s="133" t="str">
        <f t="shared" si="2"/>
        <v>2023-24</v>
      </c>
      <c r="J19" s="133" t="str">
        <f t="shared" si="2"/>
        <v>2024-25</v>
      </c>
      <c r="K19" s="133" t="str">
        <f t="shared" si="2"/>
        <v>2025-26</v>
      </c>
      <c r="L19" s="133" t="str">
        <f t="shared" si="2"/>
        <v>2026-27</v>
      </c>
      <c r="M19" s="133" t="str">
        <f t="shared" si="2"/>
        <v>2027-28</v>
      </c>
      <c r="N19" s="133" t="str">
        <f t="shared" si="2"/>
        <v>2028-29</v>
      </c>
      <c r="O19" s="141"/>
      <c r="P19" s="132"/>
    </row>
    <row r="20" spans="1:19" ht="0.95" customHeight="1">
      <c r="B20" s="29" t="s">
        <v>358</v>
      </c>
      <c r="F20" s="30"/>
      <c r="H20" s="71"/>
      <c r="I20" s="71"/>
      <c r="J20" s="71"/>
      <c r="K20" s="71"/>
      <c r="L20" s="71"/>
      <c r="M20" s="71"/>
      <c r="N20" s="71"/>
      <c r="O20" s="16"/>
    </row>
    <row r="21" spans="1:19" ht="0.95" customHeight="1">
      <c r="B21" t="s">
        <v>358</v>
      </c>
      <c r="F21" s="30"/>
      <c r="O21" s="16"/>
      <c r="P21" s="37"/>
    </row>
    <row r="22" spans="1:19" ht="20.100000000000001" customHeight="1">
      <c r="B22" t="s">
        <v>358</v>
      </c>
      <c r="F22" s="30"/>
      <c r="G22" s="32"/>
      <c r="H22" s="52" t="str">
        <f>CONCATENATE(H$3-1,"–",RIGHT(H$3,2))</f>
        <v>2022–23</v>
      </c>
      <c r="I22" s="52" t="str">
        <f>CONCATENATE(CONCATENATE(I$3-1,"–",RIGHT(I$3,2)),IF($A$4&gt;6,""," f"))</f>
        <v>2023–24 f</v>
      </c>
      <c r="J22" s="52" t="str">
        <f>CONCATENATE(CONCATENATE(J$3-1,"–",RIGHT(J$3,2))," f")</f>
        <v>2024–25 f</v>
      </c>
      <c r="K22" s="52" t="str">
        <f>CONCATENATE(CONCATENATE(K$3-1,"–",RIGHT(K$3,2))," f")</f>
        <v>2025–26 f</v>
      </c>
      <c r="L22" s="52" t="str">
        <f>CONCATENATE(CONCATENATE(L$3-1,"–",RIGHT(L$3,2))," z")</f>
        <v>2026–27 z</v>
      </c>
      <c r="M22" s="52" t="str">
        <f>CONCATENATE(CONCATENATE(M$3-1,"–",RIGHT(M$3,2))," z")</f>
        <v>2027–28 z</v>
      </c>
      <c r="N22" s="52" t="str">
        <f>CONCATENATE(CONCATENATE(N$3-1,"–",RIGHT(N$3,2))," z")</f>
        <v>2028–29 z</v>
      </c>
      <c r="O22" s="52" t="s">
        <v>184</v>
      </c>
      <c r="S22" s="29"/>
    </row>
    <row r="23" spans="1:19" ht="20.100000000000001" customHeight="1">
      <c r="B23" t="s">
        <v>358</v>
      </c>
      <c r="F23" s="43" t="s">
        <v>22</v>
      </c>
      <c r="G23" s="32"/>
      <c r="H23" s="35"/>
      <c r="I23" s="35"/>
      <c r="J23" s="35"/>
      <c r="K23" s="35"/>
      <c r="L23" s="35"/>
      <c r="M23" s="35"/>
      <c r="N23" s="35"/>
      <c r="O23" s="16"/>
      <c r="S23" s="74"/>
    </row>
    <row r="24" spans="1:19" ht="20.100000000000001" customHeight="1">
      <c r="B24" t="s">
        <v>358</v>
      </c>
      <c r="F24" s="30" t="s">
        <v>2</v>
      </c>
      <c r="G24" s="32" t="s">
        <v>0</v>
      </c>
      <c r="H24" s="35"/>
      <c r="I24" s="35"/>
      <c r="J24" s="35"/>
      <c r="K24" s="35"/>
      <c r="L24" s="35"/>
      <c r="M24" s="35"/>
      <c r="N24" s="35"/>
      <c r="O24" s="16"/>
      <c r="S24" s="74"/>
    </row>
    <row r="25" spans="1:19" ht="20.100000000000001" customHeight="1">
      <c r="B25" s="29" t="s">
        <v>358</v>
      </c>
      <c r="F25" s="30" t="s">
        <v>231</v>
      </c>
      <c r="G25" s="32" t="s">
        <v>35</v>
      </c>
      <c r="H25" s="155">
        <v>5.6301249999999996</v>
      </c>
      <c r="I25" s="155">
        <v>5.3973089999999999</v>
      </c>
      <c r="J25" s="155">
        <v>5.48</v>
      </c>
      <c r="K25" s="155">
        <v>5.48</v>
      </c>
      <c r="L25" s="155">
        <v>5.3536000000000001</v>
      </c>
      <c r="M25" s="155">
        <v>5.4829999999999997</v>
      </c>
      <c r="N25" s="155">
        <v>5.5010000000000003</v>
      </c>
      <c r="O25" s="16">
        <f t="shared" si="1"/>
        <v>-0.38594913607490344</v>
      </c>
      <c r="S25" s="74"/>
    </row>
    <row r="26" spans="1:19" ht="20.100000000000001" customHeight="1">
      <c r="B26" s="29" t="s">
        <v>358</v>
      </c>
      <c r="F26" s="30" t="s">
        <v>42</v>
      </c>
      <c r="G26" s="32" t="s">
        <v>35</v>
      </c>
      <c r="H26" s="59">
        <v>956.52841113800605</v>
      </c>
      <c r="I26" s="59">
        <v>962.00297263322204</v>
      </c>
      <c r="J26" s="59">
        <v>998.99800533679502</v>
      </c>
      <c r="K26" s="59">
        <v>1029.2072214340701</v>
      </c>
      <c r="L26" s="59">
        <v>1050.9377655017599</v>
      </c>
      <c r="M26" s="59">
        <v>1068.4647387283801</v>
      </c>
      <c r="N26" s="59">
        <v>1068.72117094189</v>
      </c>
      <c r="O26" s="16">
        <f t="shared" si="1"/>
        <v>1.8656489871672788</v>
      </c>
      <c r="S26" s="74"/>
    </row>
    <row r="27" spans="1:19" ht="20.100000000000001" customHeight="1">
      <c r="B27" s="29" t="s">
        <v>358</v>
      </c>
      <c r="F27" s="38" t="s">
        <v>43</v>
      </c>
      <c r="G27" s="32" t="s">
        <v>35</v>
      </c>
      <c r="H27" s="31">
        <v>166.76722953340499</v>
      </c>
      <c r="I27" s="31">
        <v>173.11151880420101</v>
      </c>
      <c r="J27" s="31">
        <v>177.95776297297701</v>
      </c>
      <c r="K27" s="31">
        <v>181.48959739953401</v>
      </c>
      <c r="L27" s="31">
        <v>187.87154563656799</v>
      </c>
      <c r="M27" s="31">
        <v>181.51079595615499</v>
      </c>
      <c r="N27" s="31">
        <v>179.758181172148</v>
      </c>
      <c r="O27" s="16">
        <f t="shared" si="1"/>
        <v>1.2580730644693228</v>
      </c>
      <c r="S27" s="74"/>
    </row>
    <row r="28" spans="1:19" ht="27.95" customHeight="1">
      <c r="B28" t="s">
        <v>358</v>
      </c>
      <c r="F28" s="30" t="s">
        <v>13</v>
      </c>
      <c r="G28" s="32"/>
      <c r="H28" s="35"/>
      <c r="I28" s="35"/>
      <c r="J28" s="35"/>
      <c r="K28" s="35"/>
      <c r="L28" s="35"/>
      <c r="M28" s="35"/>
      <c r="N28" s="35"/>
      <c r="O28" s="16"/>
      <c r="S28" s="74"/>
    </row>
    <row r="29" spans="1:19" ht="20.100000000000001" customHeight="1">
      <c r="B29" s="29" t="s">
        <v>358</v>
      </c>
      <c r="F29" s="30" t="s">
        <v>232</v>
      </c>
      <c r="G29" s="32" t="s">
        <v>35</v>
      </c>
      <c r="H29" s="75">
        <v>1.2146405979999999</v>
      </c>
      <c r="I29" s="75">
        <v>0.99976199161224499</v>
      </c>
      <c r="J29" s="75">
        <v>1.0012380272621799</v>
      </c>
      <c r="K29" s="75">
        <v>1.07410232347896</v>
      </c>
      <c r="L29" s="75">
        <v>1.03351885996953</v>
      </c>
      <c r="M29" s="75">
        <v>1.03246790718861</v>
      </c>
      <c r="N29" s="75">
        <v>1.04501561650164</v>
      </c>
      <c r="O29" s="16">
        <f t="shared" si="1"/>
        <v>-2.4757772064707639</v>
      </c>
      <c r="S29" s="74"/>
    </row>
    <row r="30" spans="1:19" ht="20.100000000000001" customHeight="1">
      <c r="B30" s="29" t="s">
        <v>358</v>
      </c>
      <c r="F30" s="30" t="s">
        <v>46</v>
      </c>
      <c r="G30" s="32" t="s">
        <v>16</v>
      </c>
      <c r="H30" s="36">
        <v>1356.29368</v>
      </c>
      <c r="I30" s="36">
        <v>1192.49736966723</v>
      </c>
      <c r="J30" s="36">
        <v>1182.24653410358</v>
      </c>
      <c r="K30" s="36">
        <v>1207.0833330513999</v>
      </c>
      <c r="L30" s="36">
        <v>995.10569764398394</v>
      </c>
      <c r="M30" s="36">
        <v>815.34717768372104</v>
      </c>
      <c r="N30" s="36">
        <v>729.71651126980203</v>
      </c>
      <c r="O30" s="16">
        <f t="shared" si="1"/>
        <v>-9.8151876752983984</v>
      </c>
      <c r="S30" s="74"/>
    </row>
    <row r="31" spans="1:19" ht="20.100000000000001" customHeight="1">
      <c r="B31" s="29" t="s">
        <v>358</v>
      </c>
      <c r="F31" s="30" t="s">
        <v>233</v>
      </c>
      <c r="G31" s="32" t="s">
        <v>16</v>
      </c>
      <c r="H31" s="36">
        <v>1410.79874827458</v>
      </c>
      <c r="I31" s="36">
        <v>1192.49736966723</v>
      </c>
      <c r="J31" s="36">
        <v>1145.8711287336</v>
      </c>
      <c r="K31" s="36">
        <v>1138.5049557397299</v>
      </c>
      <c r="L31" s="36">
        <v>915.67850490957596</v>
      </c>
      <c r="M31" s="36">
        <v>731.96870507845097</v>
      </c>
      <c r="N31" s="36">
        <v>639.11682244863005</v>
      </c>
      <c r="O31" s="16">
        <f t="shared" si="1"/>
        <v>-12.363330624071134</v>
      </c>
      <c r="S31" s="74"/>
    </row>
    <row r="32" spans="1:19" ht="27.95" customHeight="1">
      <c r="B32" s="29" t="s">
        <v>358</v>
      </c>
      <c r="F32" s="30" t="s">
        <v>42</v>
      </c>
      <c r="G32" s="37" t="s">
        <v>35</v>
      </c>
      <c r="H32" s="59">
        <v>894.53882763000001</v>
      </c>
      <c r="I32" s="59">
        <v>900.19688050712898</v>
      </c>
      <c r="J32" s="59">
        <v>918.77846550824995</v>
      </c>
      <c r="K32" s="59">
        <v>946.56188155291295</v>
      </c>
      <c r="L32" s="59">
        <v>966.54746293196695</v>
      </c>
      <c r="M32" s="59">
        <v>982.667020208493</v>
      </c>
      <c r="N32" s="59">
        <v>982.90286091526104</v>
      </c>
      <c r="O32" s="16">
        <f t="shared" si="1"/>
        <v>1.5824228958063014</v>
      </c>
      <c r="S32" s="16"/>
    </row>
    <row r="33" spans="2:24" ht="20.100000000000001" customHeight="1">
      <c r="B33" s="29" t="s">
        <v>358</v>
      </c>
      <c r="F33" s="30" t="s">
        <v>46</v>
      </c>
      <c r="G33" s="37" t="s">
        <v>16</v>
      </c>
      <c r="H33" s="47">
        <v>124131.188825</v>
      </c>
      <c r="I33" s="47">
        <v>135692.27842203499</v>
      </c>
      <c r="J33" s="47">
        <v>110503.640719334</v>
      </c>
      <c r="K33" s="47">
        <v>98975.710106229104</v>
      </c>
      <c r="L33" s="47">
        <v>92695.358443257894</v>
      </c>
      <c r="M33" s="47">
        <v>94246.391195480595</v>
      </c>
      <c r="N33" s="47">
        <v>94493.261003578606</v>
      </c>
      <c r="O33" s="16">
        <f t="shared" si="1"/>
        <v>-4.4450212232632902</v>
      </c>
      <c r="S33" s="16"/>
    </row>
    <row r="34" spans="2:24" ht="20.100000000000001" customHeight="1">
      <c r="B34" s="29" t="s">
        <v>358</v>
      </c>
      <c r="F34" s="30" t="s">
        <v>233</v>
      </c>
      <c r="G34" s="37" t="s">
        <v>16</v>
      </c>
      <c r="H34" s="47">
        <v>129119.62091878599</v>
      </c>
      <c r="I34" s="47">
        <v>135692.27842203499</v>
      </c>
      <c r="J34" s="47">
        <v>107103.660588225</v>
      </c>
      <c r="K34" s="47">
        <v>93352.574232753905</v>
      </c>
      <c r="L34" s="47">
        <v>85296.614653438097</v>
      </c>
      <c r="M34" s="47">
        <v>84608.631525100995</v>
      </c>
      <c r="N34" s="47">
        <v>82761.225465935902</v>
      </c>
      <c r="O34" s="16">
        <f t="shared" si="1"/>
        <v>-7.1448965028548583</v>
      </c>
      <c r="S34" s="74"/>
    </row>
    <row r="35" spans="2:24" ht="27.95" customHeight="1">
      <c r="B35" s="29" t="s">
        <v>358</v>
      </c>
      <c r="F35" s="30" t="s">
        <v>43</v>
      </c>
      <c r="G35" s="37" t="s">
        <v>35</v>
      </c>
      <c r="H35" s="31">
        <v>156.28703168000001</v>
      </c>
      <c r="I35" s="31">
        <v>161.162364122117</v>
      </c>
      <c r="J35" s="31">
        <v>173.69073397219799</v>
      </c>
      <c r="K35" s="31">
        <v>177.22256839875499</v>
      </c>
      <c r="L35" s="31">
        <v>183.604516635789</v>
      </c>
      <c r="M35" s="31">
        <v>177.243766955376</v>
      </c>
      <c r="N35" s="31">
        <v>175.49115217136799</v>
      </c>
      <c r="O35" s="16">
        <f t="shared" si="1"/>
        <v>1.9503482817609719</v>
      </c>
      <c r="Q35" s="74"/>
      <c r="R35" s="73"/>
      <c r="S35" s="73"/>
      <c r="T35" s="73"/>
      <c r="U35" s="73"/>
      <c r="V35" s="73"/>
    </row>
    <row r="36" spans="2:24" ht="20.100000000000001" customHeight="1">
      <c r="B36" s="29" t="s">
        <v>358</v>
      </c>
      <c r="F36" s="30" t="s">
        <v>46</v>
      </c>
      <c r="G36" s="37" t="s">
        <v>16</v>
      </c>
      <c r="H36" s="47">
        <v>61922.230387000003</v>
      </c>
      <c r="I36" s="47">
        <v>55714.651238160601</v>
      </c>
      <c r="J36" s="47">
        <v>49497.794920741602</v>
      </c>
      <c r="K36" s="47">
        <v>41747.351730922703</v>
      </c>
      <c r="L36" s="47">
        <v>42060.996598728503</v>
      </c>
      <c r="M36" s="47">
        <v>41245.911045710003</v>
      </c>
      <c r="N36" s="47">
        <v>40227.980817122101</v>
      </c>
      <c r="O36" s="16">
        <f t="shared" si="1"/>
        <v>-6.9363088249984495</v>
      </c>
      <c r="Q36" s="73"/>
      <c r="R36" s="73"/>
      <c r="S36" s="73"/>
      <c r="T36" s="73"/>
      <c r="U36" s="73"/>
      <c r="V36" s="73"/>
    </row>
    <row r="37" spans="2:24" ht="20.100000000000001" customHeight="1">
      <c r="B37" s="29" t="s">
        <v>358</v>
      </c>
      <c r="F37" s="30" t="s">
        <v>233</v>
      </c>
      <c r="G37" s="37" t="s">
        <v>16</v>
      </c>
      <c r="H37" s="47">
        <v>64410.685096128902</v>
      </c>
      <c r="I37" s="47">
        <v>55714.651238160601</v>
      </c>
      <c r="J37" s="47">
        <v>47974.844924083503</v>
      </c>
      <c r="K37" s="47">
        <v>39375.547266081798</v>
      </c>
      <c r="L37" s="47">
        <v>38703.778474705898</v>
      </c>
      <c r="M37" s="47">
        <v>37028.050043267103</v>
      </c>
      <c r="N37" s="47">
        <v>35233.380191197997</v>
      </c>
      <c r="O37" s="16">
        <f t="shared" si="1"/>
        <v>-9.5657935723918897</v>
      </c>
    </row>
    <row r="38" spans="2:24" ht="9.9499999999999993" customHeight="1">
      <c r="B38" t="s">
        <v>358</v>
      </c>
      <c r="O38" s="37"/>
    </row>
    <row r="39" spans="2:24" ht="9.9499999999999993" customHeight="1">
      <c r="B39" t="s">
        <v>358</v>
      </c>
      <c r="O39" s="37"/>
      <c r="P39" s="29" t="s">
        <v>358</v>
      </c>
    </row>
    <row r="40" spans="2:24" ht="18" customHeight="1">
      <c r="B40" t="s">
        <v>358</v>
      </c>
      <c r="F40" s="16" t="s">
        <v>119</v>
      </c>
      <c r="J40" s="78"/>
      <c r="K40" s="78"/>
      <c r="L40" s="78"/>
      <c r="M40" s="78"/>
      <c r="N40" s="78"/>
    </row>
    <row r="41" spans="2:24" ht="18" customHeight="1">
      <c r="B41" t="s">
        <v>358</v>
      </c>
      <c r="E41" s="39" t="s">
        <v>269</v>
      </c>
      <c r="F41" s="29" t="s">
        <v>288</v>
      </c>
    </row>
    <row r="42" spans="2:24" ht="18" customHeight="1">
      <c r="B42" t="s">
        <v>358</v>
      </c>
      <c r="E42" s="39" t="s">
        <v>254</v>
      </c>
      <c r="F42" s="29" t="str">
        <f>CONCATENATE("In ", A3, " US dollars.")</f>
        <v>In 2024 US dollars.</v>
      </c>
      <c r="R42" s="73"/>
      <c r="S42" s="73"/>
      <c r="T42" s="73"/>
      <c r="U42" s="73"/>
      <c r="V42" s="73"/>
      <c r="W42" s="73"/>
      <c r="X42" s="73"/>
    </row>
    <row r="43" spans="2:24" ht="18" customHeight="1">
      <c r="B43" t="s">
        <v>358</v>
      </c>
      <c r="E43" s="39" t="s">
        <v>255</v>
      </c>
      <c r="F43" s="29" t="s">
        <v>289</v>
      </c>
    </row>
    <row r="44" spans="2:24" ht="18" customHeight="1">
      <c r="B44" t="s">
        <v>358</v>
      </c>
      <c r="E44" s="39" t="s">
        <v>256</v>
      </c>
      <c r="F44" s="42" t="s">
        <v>290</v>
      </c>
    </row>
    <row r="45" spans="2:24" ht="18" customHeight="1">
      <c r="B45" t="s">
        <v>358</v>
      </c>
      <c r="D45" s="76"/>
      <c r="E45" s="39" t="s">
        <v>257</v>
      </c>
      <c r="F45" s="29" t="s">
        <v>291</v>
      </c>
    </row>
    <row r="46" spans="2:24" ht="18" customHeight="1">
      <c r="B46" t="s">
        <v>358</v>
      </c>
      <c r="D46" s="76"/>
      <c r="E46" s="39" t="s">
        <v>260</v>
      </c>
      <c r="F46" s="29" t="s">
        <v>296</v>
      </c>
      <c r="P46" s="29" t="s">
        <v>358</v>
      </c>
    </row>
    <row r="47" spans="2:24" ht="18" customHeight="1">
      <c r="B47" t="s">
        <v>358</v>
      </c>
      <c r="D47" s="76"/>
      <c r="E47" s="39" t="s">
        <v>262</v>
      </c>
      <c r="F47" s="42" t="s">
        <v>298</v>
      </c>
    </row>
    <row r="48" spans="2:24" ht="18" customHeight="1">
      <c r="B48" t="s">
        <v>358</v>
      </c>
      <c r="D48" s="77"/>
      <c r="E48" s="39" t="s">
        <v>258</v>
      </c>
      <c r="F48" s="29" t="str">
        <f>CONCATENATE("In ", H22, " Australian dollars.")</f>
        <v>In 2022–23 Australian dollars.</v>
      </c>
    </row>
    <row r="49" spans="2:6" ht="18" customHeight="1">
      <c r="B49" t="s">
        <v>358</v>
      </c>
      <c r="D49" s="77"/>
      <c r="E49" s="39" t="s">
        <v>261</v>
      </c>
      <c r="F49" s="29" t="str">
        <f>CONCATENATE("Compound annual growth rate (per cent), for the period from ", $A$3 - 1, " to ", $A$3+ 5, " or for the equivalent financial years.")</f>
        <v>Compound annual growth rate (per cent), for the period from 2023 to 2029 or for the equivalent financial years.</v>
      </c>
    </row>
    <row r="50" spans="2:6" ht="18" customHeight="1">
      <c r="F50" s="29" t="s">
        <v>321</v>
      </c>
    </row>
  </sheetData>
  <pageMargins left="0" right="0" top="0" bottom="0" header="0" footer="0"/>
  <pageSetup paperSize="9" scale="73" fitToHeight="0"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5"/>
  <sheetViews>
    <sheetView zoomScale="90" zoomScaleNormal="90" workbookViewId="0">
      <selection activeCell="F26" sqref="F26:M26"/>
    </sheetView>
  </sheetViews>
  <sheetFormatPr defaultColWidth="10.625" defaultRowHeight="14.25"/>
  <cols>
    <col min="1" max="1" width="14.625" customWidth="1"/>
    <col min="4" max="4" width="11.625" customWidth="1"/>
    <col min="5" max="5" width="1.875" customWidth="1"/>
    <col min="6" max="6" width="37.375" customWidth="1"/>
    <col min="7" max="13" width="12.625" customWidth="1"/>
  </cols>
  <sheetData>
    <row r="1" spans="1:15" ht="57" customHeight="1">
      <c r="A1" s="13" t="s">
        <v>118</v>
      </c>
      <c r="H1" s="134" t="str">
        <f>HYPERLINK("#'Contents'!A1", "Back to Table of Contents")</f>
        <v>Back to Table of Contents</v>
      </c>
    </row>
    <row r="2" spans="1:15" ht="18" customHeight="1">
      <c r="A2" s="130" t="s">
        <v>357</v>
      </c>
      <c r="B2" s="132"/>
      <c r="C2" s="132"/>
      <c r="D2" s="132"/>
      <c r="E2" s="132"/>
      <c r="F2" s="132"/>
      <c r="G2" s="132"/>
      <c r="H2" s="132"/>
      <c r="I2" s="132"/>
      <c r="J2" s="132"/>
      <c r="K2" s="132"/>
      <c r="L2" s="132"/>
      <c r="M2" s="132"/>
      <c r="N2" s="132"/>
      <c r="O2" s="132"/>
    </row>
    <row r="3" spans="1:15" ht="18" customHeight="1">
      <c r="A3" s="129">
        <f>YEAR(A2)</f>
        <v>2024</v>
      </c>
      <c r="B3" s="129" t="s">
        <v>358</v>
      </c>
      <c r="C3" s="132"/>
      <c r="D3" s="132"/>
      <c r="E3" s="132"/>
      <c r="F3" s="131"/>
      <c r="G3" s="133">
        <f>A3-1</f>
        <v>2023</v>
      </c>
      <c r="H3" s="133">
        <f t="shared" ref="H3:M3" si="0">G3+1</f>
        <v>2024</v>
      </c>
      <c r="I3" s="133">
        <f t="shared" si="0"/>
        <v>2025</v>
      </c>
      <c r="J3" s="133">
        <f t="shared" si="0"/>
        <v>2026</v>
      </c>
      <c r="K3" s="133">
        <f t="shared" si="0"/>
        <v>2027</v>
      </c>
      <c r="L3" s="133">
        <f t="shared" si="0"/>
        <v>2028</v>
      </c>
      <c r="M3" s="133">
        <f t="shared" si="0"/>
        <v>2029</v>
      </c>
      <c r="N3" s="132"/>
      <c r="O3" s="132"/>
    </row>
    <row r="4" spans="1:15" ht="18" customHeight="1">
      <c r="A4" s="129">
        <f>MONTH(A2)</f>
        <v>3</v>
      </c>
      <c r="B4" s="129" t="s">
        <v>358</v>
      </c>
      <c r="C4" s="132"/>
      <c r="D4" s="132"/>
      <c r="E4" s="132"/>
      <c r="F4" s="131"/>
      <c r="G4" s="132"/>
      <c r="H4" s="132"/>
      <c r="I4" s="132"/>
      <c r="J4" s="132"/>
      <c r="K4" s="132"/>
      <c r="L4" s="132"/>
      <c r="M4" s="132"/>
      <c r="N4" s="132"/>
      <c r="O4" s="132"/>
    </row>
    <row r="5" spans="1:15" ht="18" customHeight="1">
      <c r="B5" t="s">
        <v>358</v>
      </c>
      <c r="F5" s="30"/>
    </row>
    <row r="6" spans="1:15" ht="18" customHeight="1">
      <c r="B6" t="s">
        <v>358</v>
      </c>
      <c r="D6" s="29" t="s">
        <v>358</v>
      </c>
      <c r="F6" s="12" t="s">
        <v>114</v>
      </c>
      <c r="G6" s="37" t="s">
        <v>0</v>
      </c>
      <c r="N6" s="37"/>
    </row>
    <row r="7" spans="1:15" ht="20.100000000000001" customHeight="1">
      <c r="B7" t="s">
        <v>358</v>
      </c>
      <c r="D7" s="29" t="s">
        <v>358</v>
      </c>
      <c r="F7" s="51"/>
      <c r="G7" s="135" t="str">
        <f>CONCATENATE(G3,)</f>
        <v>2023</v>
      </c>
      <c r="H7" s="41" t="str">
        <f>CONCATENATE(H3," f")</f>
        <v>2024 f</v>
      </c>
      <c r="I7" s="41" t="str">
        <f>CONCATENATE(I3," f")</f>
        <v>2025 f</v>
      </c>
      <c r="J7" s="41" t="str">
        <f>CONCATENATE(J3," f")</f>
        <v>2026 f</v>
      </c>
      <c r="K7" s="41" t="str">
        <f>CONCATENATE(K3," z")</f>
        <v>2027 z</v>
      </c>
      <c r="L7" s="41" t="str">
        <f>CONCATENATE(L3," z")</f>
        <v>2028 z</v>
      </c>
      <c r="M7" s="41" t="str">
        <f>CONCATENATE(M3," z")</f>
        <v>2029 z</v>
      </c>
      <c r="N7" s="41" t="s">
        <v>184</v>
      </c>
    </row>
    <row r="8" spans="1:15" ht="27.95" customHeight="1">
      <c r="B8" t="s">
        <v>358</v>
      </c>
      <c r="F8" s="79" t="s">
        <v>100</v>
      </c>
    </row>
    <row r="9" spans="1:15" ht="20.100000000000001" customHeight="1">
      <c r="B9" s="29" t="s">
        <v>358</v>
      </c>
      <c r="F9" s="80" t="s">
        <v>52</v>
      </c>
      <c r="G9" s="126">
        <v>962.56351764579495</v>
      </c>
      <c r="H9" s="126">
        <v>957.728471683267</v>
      </c>
      <c r="I9" s="126">
        <v>952.56220141906704</v>
      </c>
      <c r="J9" s="126">
        <v>947.55926906101195</v>
      </c>
      <c r="K9" s="126">
        <v>944.81401836503699</v>
      </c>
      <c r="L9" s="126">
        <v>941.83924902972603</v>
      </c>
      <c r="M9" s="126">
        <v>938.63864055906697</v>
      </c>
      <c r="N9" s="16">
        <f>((M9/G9)^(1/6)-1)*100</f>
        <v>-0.41861278939420155</v>
      </c>
    </row>
    <row r="10" spans="1:15" ht="20.100000000000001" customHeight="1">
      <c r="B10" s="29" t="s">
        <v>358</v>
      </c>
      <c r="F10" s="80" t="s">
        <v>217</v>
      </c>
      <c r="G10" s="126">
        <v>146.550800239274</v>
      </c>
      <c r="H10" s="126">
        <v>151.60084655123299</v>
      </c>
      <c r="I10" s="126">
        <v>154.85393345564199</v>
      </c>
      <c r="J10" s="126">
        <v>156.96681075094699</v>
      </c>
      <c r="K10" s="126">
        <v>159.99685676243399</v>
      </c>
      <c r="L10" s="126">
        <v>163.03323542616599</v>
      </c>
      <c r="M10" s="126">
        <v>166.075720891781</v>
      </c>
      <c r="N10" s="16">
        <f t="shared" ref="N10:N17" si="1">((M10/G10)^(1/6)-1)*100</f>
        <v>2.106406491771029</v>
      </c>
    </row>
    <row r="11" spans="1:15" ht="20.100000000000001" customHeight="1">
      <c r="B11" s="29" t="s">
        <v>358</v>
      </c>
      <c r="F11" s="80" t="s">
        <v>57</v>
      </c>
      <c r="G11" s="126">
        <v>102.020889074339</v>
      </c>
      <c r="H11" s="126">
        <v>103.248022512356</v>
      </c>
      <c r="I11" s="126">
        <v>106.782491301421</v>
      </c>
      <c r="J11" s="126">
        <v>110.239466247889</v>
      </c>
      <c r="K11" s="126">
        <v>112.66518922521399</v>
      </c>
      <c r="L11" s="126">
        <v>115.09914856745399</v>
      </c>
      <c r="M11" s="126">
        <v>117.541114295725</v>
      </c>
      <c r="N11" s="16">
        <f t="shared" si="1"/>
        <v>2.3882491549326534</v>
      </c>
    </row>
    <row r="12" spans="1:15" ht="20.100000000000001" customHeight="1">
      <c r="B12" s="29" t="s">
        <v>358</v>
      </c>
      <c r="F12" s="80" t="s">
        <v>54</v>
      </c>
      <c r="G12" s="126">
        <v>129.68036789555001</v>
      </c>
      <c r="H12" s="126">
        <v>138.49441981136201</v>
      </c>
      <c r="I12" s="126">
        <v>148.55271942319999</v>
      </c>
      <c r="J12" s="126">
        <v>158.57962091043299</v>
      </c>
      <c r="K12" s="126">
        <v>168.63052533661201</v>
      </c>
      <c r="L12" s="126">
        <v>178.77679002454499</v>
      </c>
      <c r="M12" s="126">
        <v>189.016511233903</v>
      </c>
      <c r="N12" s="16">
        <f t="shared" si="1"/>
        <v>6.4807050650638187</v>
      </c>
    </row>
    <row r="13" spans="1:15" ht="20.100000000000001" customHeight="1">
      <c r="B13" s="29" t="s">
        <v>358</v>
      </c>
      <c r="F13" s="80" t="s">
        <v>55</v>
      </c>
      <c r="G13" s="126">
        <v>58.506380154803203</v>
      </c>
      <c r="H13" s="126">
        <v>58.624804814829801</v>
      </c>
      <c r="I13" s="126">
        <v>59.496084778013604</v>
      </c>
      <c r="J13" s="126">
        <v>60.307868656419501</v>
      </c>
      <c r="K13" s="126">
        <v>61.087828111807298</v>
      </c>
      <c r="L13" s="126">
        <v>61.865330572154498</v>
      </c>
      <c r="M13" s="126">
        <v>62.640381365869999</v>
      </c>
      <c r="N13" s="16">
        <f t="shared" si="1"/>
        <v>1.1444042562673395</v>
      </c>
    </row>
    <row r="14" spans="1:15" ht="20.100000000000001" customHeight="1">
      <c r="B14" s="29" t="s">
        <v>358</v>
      </c>
      <c r="F14" s="80" t="s">
        <v>82</v>
      </c>
      <c r="G14" s="126">
        <v>54.176514442196201</v>
      </c>
      <c r="H14" s="126">
        <v>54.534370171715999</v>
      </c>
      <c r="I14" s="126">
        <v>55.344858226824201</v>
      </c>
      <c r="J14" s="126">
        <v>56.1000014237055</v>
      </c>
      <c r="K14" s="126">
        <v>56.825540686367397</v>
      </c>
      <c r="L14" s="126">
        <v>57.5487943861608</v>
      </c>
      <c r="M14" s="126">
        <v>58.2697674797151</v>
      </c>
      <c r="N14" s="16">
        <f t="shared" si="1"/>
        <v>1.2213295385211431</v>
      </c>
    </row>
    <row r="15" spans="1:15" ht="20.100000000000001" customHeight="1">
      <c r="B15" s="29" t="s">
        <v>358</v>
      </c>
      <c r="F15" s="80" t="s">
        <v>86</v>
      </c>
      <c r="G15" s="126">
        <v>45.111486881674203</v>
      </c>
      <c r="H15" s="126">
        <v>44.842535208655697</v>
      </c>
      <c r="I15" s="126">
        <v>45.308983524331502</v>
      </c>
      <c r="J15" s="126">
        <v>46.427193991612498</v>
      </c>
      <c r="K15" s="126">
        <v>47.527635190209402</v>
      </c>
      <c r="L15" s="126">
        <v>48.632548712871198</v>
      </c>
      <c r="M15" s="126">
        <v>49.741818802139697</v>
      </c>
      <c r="N15" s="16">
        <f t="shared" si="1"/>
        <v>1.641816949655972</v>
      </c>
    </row>
    <row r="16" spans="1:15" ht="20.100000000000001" customHeight="1">
      <c r="B16" s="29" t="s">
        <v>358</v>
      </c>
      <c r="F16" s="161" t="s">
        <v>362</v>
      </c>
      <c r="G16" s="126">
        <v>110.83403604681477</v>
      </c>
      <c r="H16" s="126">
        <v>116.38445342062911</v>
      </c>
      <c r="I16" s="126">
        <v>119.11415542325048</v>
      </c>
      <c r="J16" s="126">
        <v>121.7393875948009</v>
      </c>
      <c r="K16" s="126">
        <v>125.31383863349767</v>
      </c>
      <c r="L16" s="126">
        <v>128.9087851369938</v>
      </c>
      <c r="M16" s="126">
        <v>132.52375842353916</v>
      </c>
      <c r="N16" s="16">
        <f t="shared" si="1"/>
        <v>3.0236105302340333</v>
      </c>
    </row>
    <row r="17" spans="2:15" ht="27.95" customHeight="1">
      <c r="B17" s="29" t="s">
        <v>358</v>
      </c>
      <c r="F17" s="81" t="s">
        <v>102</v>
      </c>
      <c r="G17" s="126">
        <v>1892.5029809744401</v>
      </c>
      <c r="H17" s="126">
        <v>1918.9765229147399</v>
      </c>
      <c r="I17" s="126">
        <v>1947.4962902643599</v>
      </c>
      <c r="J17" s="126">
        <v>1974.0685613237199</v>
      </c>
      <c r="K17" s="126">
        <v>1999.5991176887601</v>
      </c>
      <c r="L17" s="126">
        <v>2025.04924878305</v>
      </c>
      <c r="M17" s="126">
        <v>2050.4191290223898</v>
      </c>
      <c r="N17" s="16">
        <f t="shared" si="1"/>
        <v>1.3446931572520304</v>
      </c>
    </row>
    <row r="18" spans="2:15" ht="33.950000000000003" customHeight="1">
      <c r="B18" t="s">
        <v>358</v>
      </c>
      <c r="F18" s="79" t="s">
        <v>103</v>
      </c>
      <c r="G18" s="45"/>
      <c r="H18" s="45"/>
      <c r="I18" s="45"/>
      <c r="J18" s="45"/>
      <c r="K18" s="45"/>
      <c r="L18" s="45"/>
      <c r="M18" s="45"/>
      <c r="N18" s="16"/>
    </row>
    <row r="19" spans="2:15" ht="33.950000000000003" customHeight="1">
      <c r="B19" s="29" t="s">
        <v>358</v>
      </c>
      <c r="F19" s="80" t="s">
        <v>52</v>
      </c>
      <c r="G19" s="45">
        <v>1019.08</v>
      </c>
      <c r="H19" s="45">
        <v>1014.57548602432</v>
      </c>
      <c r="I19" s="45">
        <v>1010.73208398215</v>
      </c>
      <c r="J19" s="45">
        <v>1006.59430812704</v>
      </c>
      <c r="K19" s="45">
        <v>1002.15288139839</v>
      </c>
      <c r="L19" s="45">
        <v>997.40820138631705</v>
      </c>
      <c r="M19" s="45">
        <v>992.42482111823404</v>
      </c>
      <c r="N19" s="16">
        <f t="shared" ref="N19:N23" si="2">((M19/G19)^(1/6)-1)*100</f>
        <v>-0.4407637026185629</v>
      </c>
    </row>
    <row r="20" spans="2:15" ht="20.100000000000001" customHeight="1">
      <c r="B20" s="29" t="s">
        <v>358</v>
      </c>
      <c r="F20" s="80" t="s">
        <v>217</v>
      </c>
      <c r="G20" s="45">
        <v>126.31228900000001</v>
      </c>
      <c r="H20" s="45">
        <v>131.72870328042899</v>
      </c>
      <c r="I20" s="45">
        <v>132.956252075783</v>
      </c>
      <c r="J20" s="45">
        <v>133.77975149461801</v>
      </c>
      <c r="K20" s="45">
        <v>134.58173124774899</v>
      </c>
      <c r="L20" s="45">
        <v>135.361822833904</v>
      </c>
      <c r="M20" s="45">
        <v>136.128354702801</v>
      </c>
      <c r="N20" s="16">
        <f t="shared" si="2"/>
        <v>1.2551601780544042</v>
      </c>
    </row>
    <row r="21" spans="2:15" ht="20.100000000000001" customHeight="1">
      <c r="B21" s="29" t="s">
        <v>358</v>
      </c>
      <c r="F21" s="80" t="s">
        <v>54</v>
      </c>
      <c r="G21" s="31">
        <v>140.17099999999999</v>
      </c>
      <c r="H21" s="31">
        <v>148.85253802597899</v>
      </c>
      <c r="I21" s="31">
        <v>157.36965300174299</v>
      </c>
      <c r="J21" s="31">
        <v>165.52798302617401</v>
      </c>
      <c r="K21" s="31">
        <v>173.75760350802801</v>
      </c>
      <c r="L21" s="31">
        <v>181.055868251448</v>
      </c>
      <c r="M21" s="31">
        <v>187.41872769453801</v>
      </c>
      <c r="N21" s="16">
        <f>((M21/G21)^(1/6)-1)*100</f>
        <v>4.9604785847055854</v>
      </c>
    </row>
    <row r="22" spans="2:15" ht="20.100000000000001" customHeight="1">
      <c r="B22" s="29" t="s">
        <v>358</v>
      </c>
      <c r="F22" s="80" t="s">
        <v>55</v>
      </c>
      <c r="G22" s="31">
        <v>86.995981999999998</v>
      </c>
      <c r="H22" s="31">
        <v>88.660256592036802</v>
      </c>
      <c r="I22" s="31">
        <v>88.159512584460401</v>
      </c>
      <c r="J22" s="31">
        <v>88.368623231403902</v>
      </c>
      <c r="K22" s="31">
        <v>87.558926458133001</v>
      </c>
      <c r="L22" s="31">
        <v>86.717054733314399</v>
      </c>
      <c r="M22" s="31">
        <v>85.848750787313705</v>
      </c>
      <c r="N22" s="16">
        <f t="shared" si="2"/>
        <v>-0.2210037188895897</v>
      </c>
    </row>
    <row r="23" spans="2:15" ht="20.100000000000001" customHeight="1">
      <c r="B23" s="29" t="s">
        <v>358</v>
      </c>
      <c r="F23" s="80" t="s">
        <v>57</v>
      </c>
      <c r="G23" s="45">
        <v>80.664434999999997</v>
      </c>
      <c r="H23" s="45">
        <v>82.507584080741495</v>
      </c>
      <c r="I23" s="45">
        <v>84.902797613933103</v>
      </c>
      <c r="J23" s="45">
        <v>85.067242306749904</v>
      </c>
      <c r="K23" s="45">
        <v>86.213076759115694</v>
      </c>
      <c r="L23" s="45">
        <v>87.3534036900638</v>
      </c>
      <c r="M23" s="45">
        <v>88.493404380394907</v>
      </c>
      <c r="N23" s="16">
        <f t="shared" si="2"/>
        <v>1.5558162467291581</v>
      </c>
    </row>
    <row r="24" spans="2:15" ht="20.100000000000001" customHeight="1">
      <c r="B24" s="29" t="s">
        <v>358</v>
      </c>
      <c r="F24" s="80" t="s">
        <v>86</v>
      </c>
      <c r="G24" s="45">
        <v>75.8</v>
      </c>
      <c r="H24" s="45">
        <v>76.750090121132104</v>
      </c>
      <c r="I24" s="45">
        <v>77.047943713668403</v>
      </c>
      <c r="J24" s="45">
        <v>77.104658824020703</v>
      </c>
      <c r="K24" s="45">
        <v>77.143239270767694</v>
      </c>
      <c r="L24" s="45">
        <v>77.163600874690204</v>
      </c>
      <c r="M24" s="45">
        <v>78.170620115493804</v>
      </c>
      <c r="N24" s="16">
        <f t="shared" ref="N24:N27" si="3">((M24/G24)^(1/6)-1)*100</f>
        <v>0.51457914173649311</v>
      </c>
    </row>
    <row r="25" spans="2:15" ht="24.75" customHeight="1">
      <c r="B25" s="29" t="s">
        <v>358</v>
      </c>
      <c r="F25" s="80" t="s">
        <v>82</v>
      </c>
      <c r="G25" s="45">
        <v>66.676462000000001</v>
      </c>
      <c r="H25" s="45">
        <v>68.952014491533504</v>
      </c>
      <c r="I25" s="45">
        <v>70.1180016529716</v>
      </c>
      <c r="J25" s="45">
        <v>70.079672377498099</v>
      </c>
      <c r="K25" s="45">
        <v>70.023628015922199</v>
      </c>
      <c r="L25" s="45">
        <v>69.949819631288804</v>
      </c>
      <c r="M25" s="45">
        <v>70.862695824998795</v>
      </c>
      <c r="N25" s="16">
        <f t="shared" si="3"/>
        <v>1.0200363621432285</v>
      </c>
    </row>
    <row r="26" spans="2:15" ht="24.75" customHeight="1">
      <c r="B26" s="29" t="s">
        <v>358</v>
      </c>
      <c r="F26" s="161" t="s">
        <v>362</v>
      </c>
      <c r="G26" s="45">
        <v>61.9616805</v>
      </c>
      <c r="H26" s="45">
        <v>70.147036974693862</v>
      </c>
      <c r="I26" s="45">
        <v>79.333232115307965</v>
      </c>
      <c r="J26" s="45">
        <v>82.421290032088748</v>
      </c>
      <c r="K26" s="45">
        <v>87.531484169882077</v>
      </c>
      <c r="L26" s="45">
        <v>92.689249470193346</v>
      </c>
      <c r="M26" s="45">
        <v>97.898885316292677</v>
      </c>
      <c r="N26" s="16">
        <f t="shared" si="3"/>
        <v>7.9217783661610586</v>
      </c>
    </row>
    <row r="27" spans="2:15" ht="27.95" customHeight="1">
      <c r="B27" s="29" t="s">
        <v>358</v>
      </c>
      <c r="F27" s="30" t="s">
        <v>104</v>
      </c>
      <c r="G27" s="45">
        <v>1888.2454859699999</v>
      </c>
      <c r="H27" s="45">
        <v>1924.2848756565099</v>
      </c>
      <c r="I27" s="45">
        <v>1956.7321053251201</v>
      </c>
      <c r="J27" s="45">
        <v>1983.4303928408201</v>
      </c>
      <c r="K27" s="45">
        <v>2010.0737406262399</v>
      </c>
      <c r="L27" s="45">
        <v>2036.6622255765101</v>
      </c>
      <c r="M27" s="45">
        <v>2063.1959246646202</v>
      </c>
      <c r="N27" s="16">
        <f t="shared" si="3"/>
        <v>1.4877605443051722</v>
      </c>
    </row>
    <row r="28" spans="2:15" ht="9.9499999999999993" customHeight="1">
      <c r="B28" t="s">
        <v>358</v>
      </c>
    </row>
    <row r="29" spans="2:15" ht="9.9499999999999993" customHeight="1">
      <c r="B29" t="s">
        <v>358</v>
      </c>
      <c r="O29" s="29" t="s">
        <v>358</v>
      </c>
    </row>
    <row r="30" spans="2:15" ht="18" customHeight="1">
      <c r="B30" t="s">
        <v>358</v>
      </c>
      <c r="F30" s="16" t="s">
        <v>119</v>
      </c>
    </row>
    <row r="31" spans="2:15" ht="18" customHeight="1">
      <c r="B31" t="s">
        <v>358</v>
      </c>
      <c r="E31" s="39" t="s">
        <v>261</v>
      </c>
      <c r="F31" s="29" t="str">
        <f>CONCATENATE("Compound annual growth rate (per cent), for the period from ", $A$3 - 1, " to ", $A$3+ 5, " or for the equivalent financial years.")</f>
        <v>Compound annual growth rate (per cent), for the period from 2023 to 2029 or for the equivalent financial years.</v>
      </c>
    </row>
    <row r="32" spans="2:15" ht="18" customHeight="1">
      <c r="B32" t="s">
        <v>358</v>
      </c>
      <c r="E32" s="39" t="s">
        <v>260</v>
      </c>
      <c r="F32" s="42" t="s">
        <v>296</v>
      </c>
    </row>
    <row r="33" spans="2:15" ht="18" customHeight="1">
      <c r="B33" t="s">
        <v>358</v>
      </c>
      <c r="E33" s="39" t="s">
        <v>262</v>
      </c>
      <c r="F33" s="42" t="s">
        <v>298</v>
      </c>
    </row>
    <row r="34" spans="2:15" ht="18" customHeight="1">
      <c r="B34" t="s">
        <v>358</v>
      </c>
      <c r="F34" s="42" t="s">
        <v>322</v>
      </c>
    </row>
    <row r="35" spans="2:15" ht="18" customHeight="1">
      <c r="O35" s="29" t="s">
        <v>358</v>
      </c>
    </row>
  </sheetData>
  <pageMargins left="0" right="0" top="0" bottom="0" header="0" footer="0"/>
  <pageSetup paperSize="9" scale="7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6"/>
  <sheetViews>
    <sheetView zoomScale="90" zoomScaleNormal="90" workbookViewId="0">
      <selection activeCell="N27" sqref="N27"/>
    </sheetView>
  </sheetViews>
  <sheetFormatPr defaultColWidth="10.625" defaultRowHeight="14.25"/>
  <cols>
    <col min="1" max="1" width="14.625" customWidth="1"/>
    <col min="4" max="4" width="11.625" customWidth="1"/>
    <col min="5" max="5" width="1.875" customWidth="1"/>
    <col min="6" max="6" width="37.375" customWidth="1"/>
    <col min="7" max="13" width="12.625" customWidth="1"/>
  </cols>
  <sheetData>
    <row r="1" spans="1:15" ht="57" customHeight="1">
      <c r="A1" s="13" t="s">
        <v>118</v>
      </c>
      <c r="H1" s="134" t="str">
        <f>HYPERLINK("#'Contents'!A1", "Back to Table of Contents")</f>
        <v>Back to Table of Contents</v>
      </c>
    </row>
    <row r="2" spans="1:15" ht="18" customHeight="1">
      <c r="A2" s="130" t="s">
        <v>357</v>
      </c>
      <c r="B2" s="132"/>
      <c r="C2" s="132"/>
      <c r="D2" s="132"/>
      <c r="E2" s="132"/>
      <c r="F2" s="132"/>
      <c r="G2" s="132"/>
      <c r="H2" s="132"/>
      <c r="I2" s="132"/>
      <c r="J2" s="132"/>
      <c r="K2" s="132"/>
      <c r="L2" s="132"/>
      <c r="M2" s="132"/>
      <c r="N2" s="132"/>
      <c r="O2" s="132"/>
    </row>
    <row r="3" spans="1:15" ht="18" customHeight="1">
      <c r="A3" s="129">
        <f>YEAR(A2)</f>
        <v>2024</v>
      </c>
      <c r="B3" s="129" t="s">
        <v>358</v>
      </c>
      <c r="C3" s="132"/>
      <c r="D3" s="132"/>
      <c r="E3" s="132"/>
      <c r="F3" s="131"/>
      <c r="G3" s="133">
        <f>A3-1</f>
        <v>2023</v>
      </c>
      <c r="H3" s="133">
        <f t="shared" ref="H3:M3" si="0">G3+1</f>
        <v>2024</v>
      </c>
      <c r="I3" s="133">
        <f t="shared" si="0"/>
        <v>2025</v>
      </c>
      <c r="J3" s="133">
        <f t="shared" si="0"/>
        <v>2026</v>
      </c>
      <c r="K3" s="133">
        <f t="shared" si="0"/>
        <v>2027</v>
      </c>
      <c r="L3" s="133">
        <f t="shared" si="0"/>
        <v>2028</v>
      </c>
      <c r="M3" s="133">
        <f t="shared" si="0"/>
        <v>2029</v>
      </c>
      <c r="N3" s="132"/>
      <c r="O3" s="132"/>
    </row>
    <row r="4" spans="1:15" ht="18" customHeight="1">
      <c r="A4" s="129">
        <f>MONTH(A2)</f>
        <v>3</v>
      </c>
      <c r="B4" s="129" t="s">
        <v>358</v>
      </c>
      <c r="C4" s="132"/>
      <c r="D4" s="132"/>
      <c r="E4" s="132"/>
      <c r="F4" s="131"/>
      <c r="G4" s="132"/>
      <c r="H4" s="132"/>
      <c r="I4" s="132"/>
      <c r="J4" s="132"/>
      <c r="K4" s="132"/>
      <c r="L4" s="132"/>
      <c r="M4" s="132"/>
      <c r="N4" s="132"/>
      <c r="O4" s="132"/>
    </row>
    <row r="5" spans="1:15" ht="18" customHeight="1">
      <c r="B5" t="s">
        <v>358</v>
      </c>
      <c r="F5" s="30"/>
    </row>
    <row r="6" spans="1:15" ht="18" customHeight="1">
      <c r="B6" t="s">
        <v>358</v>
      </c>
      <c r="D6" s="29" t="s">
        <v>358</v>
      </c>
      <c r="F6" s="12" t="s">
        <v>115</v>
      </c>
      <c r="G6" s="37" t="s">
        <v>0</v>
      </c>
      <c r="N6" s="37"/>
    </row>
    <row r="7" spans="1:15" ht="20.100000000000001" customHeight="1">
      <c r="B7" t="s">
        <v>358</v>
      </c>
      <c r="D7" s="29" t="s">
        <v>358</v>
      </c>
      <c r="F7" s="51"/>
      <c r="G7" s="135">
        <f>G3</f>
        <v>2023</v>
      </c>
      <c r="H7" s="41" t="str">
        <f>CONCATENATE(H3," f")</f>
        <v>2024 f</v>
      </c>
      <c r="I7" s="41" t="str">
        <f>CONCATENATE(I3," f")</f>
        <v>2025 f</v>
      </c>
      <c r="J7" s="41" t="str">
        <f>CONCATENATE(J3," f")</f>
        <v>2026 f</v>
      </c>
      <c r="K7" s="41" t="str">
        <f>CONCATENATE(K3," z")</f>
        <v>2027 z</v>
      </c>
      <c r="L7" s="41" t="str">
        <f>CONCATENATE(L3," z")</f>
        <v>2028 z</v>
      </c>
      <c r="M7" s="41" t="str">
        <f>CONCATENATE(M3," z")</f>
        <v>2029 z</v>
      </c>
      <c r="N7" s="41" t="s">
        <v>184</v>
      </c>
    </row>
    <row r="8" spans="1:15" ht="27.95" customHeight="1">
      <c r="B8" t="s">
        <v>358</v>
      </c>
      <c r="F8" s="79" t="s">
        <v>105</v>
      </c>
      <c r="G8" s="52"/>
      <c r="H8" s="52"/>
      <c r="I8" s="52"/>
      <c r="J8" s="52"/>
      <c r="K8" s="52"/>
      <c r="L8" s="52"/>
      <c r="M8" s="52"/>
    </row>
    <row r="9" spans="1:15" ht="20.100000000000001" customHeight="1">
      <c r="B9" s="29" t="s">
        <v>358</v>
      </c>
      <c r="F9" s="80" t="s">
        <v>52</v>
      </c>
      <c r="G9" s="47">
        <v>1180</v>
      </c>
      <c r="H9" s="47">
        <v>1117.7641403545199</v>
      </c>
      <c r="I9" s="47">
        <v>1092.4767648725599</v>
      </c>
      <c r="J9" s="47">
        <v>1071.9201783594399</v>
      </c>
      <c r="K9" s="47">
        <v>1061.11970856371</v>
      </c>
      <c r="L9" s="47">
        <v>1059.9231922679701</v>
      </c>
      <c r="M9" s="47">
        <v>1053.41493523895</v>
      </c>
      <c r="N9" s="16">
        <f>((M9/G9)^(1/6)-1)*100</f>
        <v>-1.8735145900199091</v>
      </c>
    </row>
    <row r="10" spans="1:15" ht="20.100000000000001" customHeight="1">
      <c r="B10" s="29" t="s">
        <v>358</v>
      </c>
      <c r="F10" s="80" t="s">
        <v>55</v>
      </c>
      <c r="G10" s="47">
        <v>102.174205960715</v>
      </c>
      <c r="H10" s="47">
        <v>104.128840896974</v>
      </c>
      <c r="I10" s="47">
        <v>103.54073378050801</v>
      </c>
      <c r="J10" s="47">
        <v>103.78632725289199</v>
      </c>
      <c r="K10" s="47">
        <v>102.835365429414</v>
      </c>
      <c r="L10" s="47">
        <v>101.846615199703</v>
      </c>
      <c r="M10" s="47">
        <v>100.82682120881699</v>
      </c>
      <c r="N10" s="16">
        <f>((M10/G10)^(1/6)-1)*100</f>
        <v>-0.22100300113231386</v>
      </c>
    </row>
    <row r="11" spans="1:15" ht="20.100000000000001" customHeight="1">
      <c r="B11" s="29" t="s">
        <v>358</v>
      </c>
      <c r="F11" s="80" t="s">
        <v>82</v>
      </c>
      <c r="G11" s="47">
        <v>71.646387385250407</v>
      </c>
      <c r="H11" s="47">
        <v>73.979753389004003</v>
      </c>
      <c r="I11" s="47">
        <v>75.175364043311205</v>
      </c>
      <c r="J11" s="47">
        <v>75.136060960358293</v>
      </c>
      <c r="K11" s="47">
        <v>72.078592715398102</v>
      </c>
      <c r="L11" s="47">
        <v>75.002909128165399</v>
      </c>
      <c r="M11" s="47">
        <v>75.938978185664297</v>
      </c>
      <c r="N11" s="16">
        <f>((M11/G11)^(1/6)-1)*100</f>
        <v>0.97450713712972092</v>
      </c>
    </row>
    <row r="12" spans="1:15" ht="20.100000000000001" customHeight="1">
      <c r="B12" s="29" t="s">
        <v>358</v>
      </c>
      <c r="F12" s="80" t="s">
        <v>217</v>
      </c>
      <c r="G12" s="47">
        <v>108</v>
      </c>
      <c r="H12" s="47">
        <v>111.536549024583</v>
      </c>
      <c r="I12" s="47">
        <v>113.346651718321</v>
      </c>
      <c r="J12" s="47">
        <v>113.890107994776</v>
      </c>
      <c r="K12" s="47">
        <v>113.419362685745</v>
      </c>
      <c r="L12" s="47">
        <v>113.93417260425799</v>
      </c>
      <c r="M12" s="47">
        <v>114.44003398767499</v>
      </c>
      <c r="N12" s="16">
        <f t="shared" ref="N12:N19" si="1">((M12/G12)^(1/6)-1)*100</f>
        <v>0.97000329633456506</v>
      </c>
    </row>
    <row r="13" spans="1:15" ht="33.950000000000003" customHeight="1">
      <c r="B13" t="s">
        <v>358</v>
      </c>
      <c r="F13" s="79" t="s">
        <v>106</v>
      </c>
      <c r="G13" s="47"/>
      <c r="H13" s="47"/>
      <c r="I13" s="47"/>
      <c r="J13" s="47"/>
      <c r="K13" s="47"/>
      <c r="L13" s="47"/>
      <c r="M13" s="47"/>
      <c r="N13" s="16"/>
    </row>
    <row r="14" spans="1:15" ht="20.100000000000001" customHeight="1">
      <c r="B14" s="29" t="s">
        <v>358</v>
      </c>
      <c r="F14" s="80" t="s">
        <v>22</v>
      </c>
      <c r="G14" s="47">
        <v>892.98424692000003</v>
      </c>
      <c r="H14" s="47">
        <v>905.41419636747196</v>
      </c>
      <c r="I14" s="47">
        <v>937.30981493455295</v>
      </c>
      <c r="J14" s="47">
        <v>952.48597195023001</v>
      </c>
      <c r="K14" s="47">
        <v>980.90544521988204</v>
      </c>
      <c r="L14" s="47">
        <v>982.89778002063895</v>
      </c>
      <c r="M14" s="47">
        <v>982.86759071627898</v>
      </c>
      <c r="N14" s="16">
        <f t="shared" si="1"/>
        <v>1.6112676731466102</v>
      </c>
    </row>
    <row r="15" spans="1:15" ht="20.100000000000001" customHeight="1">
      <c r="B15" s="29" t="s">
        <v>358</v>
      </c>
      <c r="F15" s="80" t="s">
        <v>101</v>
      </c>
      <c r="G15" s="47">
        <v>367.180657</v>
      </c>
      <c r="H15" s="47">
        <v>390.180657</v>
      </c>
      <c r="I15" s="47">
        <v>413.180657</v>
      </c>
      <c r="J15" s="47">
        <v>440.180657</v>
      </c>
      <c r="K15" s="47">
        <v>467.180657</v>
      </c>
      <c r="L15" s="47">
        <v>494.180657</v>
      </c>
      <c r="M15" s="47">
        <v>521.180657</v>
      </c>
      <c r="N15" s="16">
        <f t="shared" si="1"/>
        <v>6.0111182701233279</v>
      </c>
    </row>
    <row r="16" spans="1:15" ht="20.100000000000001" customHeight="1">
      <c r="B16" s="29" t="s">
        <v>358</v>
      </c>
      <c r="F16" s="80" t="s">
        <v>87</v>
      </c>
      <c r="G16" s="47">
        <v>59.313901000000001</v>
      </c>
      <c r="H16" s="47">
        <v>60.313901000000001</v>
      </c>
      <c r="I16" s="47">
        <v>61.313901000000001</v>
      </c>
      <c r="J16" s="47">
        <v>62.313901000000001</v>
      </c>
      <c r="K16" s="47">
        <v>63.313901000000001</v>
      </c>
      <c r="L16" s="47">
        <v>64.313901000000001</v>
      </c>
      <c r="M16" s="47">
        <v>64.313901000000001</v>
      </c>
      <c r="N16" s="16">
        <f t="shared" si="1"/>
        <v>1.3580066184364359</v>
      </c>
    </row>
    <row r="17" spans="2:15" ht="20.100000000000001" customHeight="1">
      <c r="B17" s="29" t="s">
        <v>358</v>
      </c>
      <c r="F17" s="80" t="s">
        <v>88</v>
      </c>
      <c r="G17" s="47">
        <v>55.744281000000001</v>
      </c>
      <c r="H17" s="47">
        <v>57.744281000000001</v>
      </c>
      <c r="I17" s="47">
        <v>59.744281000000001</v>
      </c>
      <c r="J17" s="47">
        <v>61.744281000000001</v>
      </c>
      <c r="K17" s="47">
        <v>61.744281000000001</v>
      </c>
      <c r="L17" s="47">
        <v>61.744281000000001</v>
      </c>
      <c r="M17" s="47">
        <v>61.744281000000001</v>
      </c>
      <c r="N17" s="16">
        <f t="shared" si="1"/>
        <v>1.7183726001777089</v>
      </c>
    </row>
    <row r="18" spans="2:15" ht="19.5" customHeight="1">
      <c r="B18" s="29" t="s">
        <v>358</v>
      </c>
      <c r="F18" s="80" t="s">
        <v>54</v>
      </c>
      <c r="G18" s="47">
        <v>37.015152</v>
      </c>
      <c r="H18" s="47">
        <v>38.015152</v>
      </c>
      <c r="I18" s="47">
        <v>39.015152</v>
      </c>
      <c r="J18" s="47">
        <v>40.015152</v>
      </c>
      <c r="K18" s="47">
        <v>41.015152</v>
      </c>
      <c r="L18" s="47">
        <v>42.015152</v>
      </c>
      <c r="M18" s="47">
        <v>43.015152</v>
      </c>
      <c r="N18" s="16">
        <f t="shared" si="1"/>
        <v>2.5353584812772834</v>
      </c>
    </row>
    <row r="19" spans="2:15" ht="18.75" customHeight="1">
      <c r="B19" s="29" t="s">
        <v>358</v>
      </c>
      <c r="C19" s="29"/>
      <c r="D19" s="29"/>
      <c r="E19" s="29"/>
      <c r="F19" s="80" t="s">
        <v>107</v>
      </c>
      <c r="G19" s="47">
        <v>1620.2594093053804</v>
      </c>
      <c r="H19" s="47">
        <v>1633.4951139654402</v>
      </c>
      <c r="I19" s="47">
        <v>1671.5814088784796</v>
      </c>
      <c r="J19" s="47">
        <v>1698.9488214069302</v>
      </c>
      <c r="K19" s="47">
        <v>1738.4387079851754</v>
      </c>
      <c r="L19" s="47">
        <v>1787.9893099818478</v>
      </c>
      <c r="M19" s="47">
        <v>1831.9696906610448</v>
      </c>
      <c r="N19" s="16">
        <f t="shared" si="1"/>
        <v>2.0678473243197271</v>
      </c>
    </row>
    <row r="20" spans="2:15" ht="9.9499999999999993" customHeight="1">
      <c r="B20" t="s">
        <v>358</v>
      </c>
      <c r="N20" s="16"/>
      <c r="O20" s="29" t="s">
        <v>358</v>
      </c>
    </row>
    <row r="21" spans="2:15" ht="18" customHeight="1">
      <c r="B21" t="s">
        <v>358</v>
      </c>
      <c r="F21" s="16" t="s">
        <v>119</v>
      </c>
      <c r="N21" s="16"/>
    </row>
    <row r="22" spans="2:15" ht="18" customHeight="1">
      <c r="B22" t="s">
        <v>358</v>
      </c>
      <c r="E22" s="39" t="s">
        <v>261</v>
      </c>
      <c r="F22" s="29" t="str">
        <f>CONCATENATE("Compound annual growth rate (per cent), for the period from ", $A$3 - 1, " to ", $A$3+ 5, " or for the equivalent financial years.")</f>
        <v>Compound annual growth rate (per cent), for the period from 2023 to 2029 or for the equivalent financial years.</v>
      </c>
      <c r="N22" s="16"/>
    </row>
    <row r="23" spans="2:15" ht="18" customHeight="1">
      <c r="B23" t="s">
        <v>358</v>
      </c>
      <c r="E23" s="39" t="s">
        <v>260</v>
      </c>
      <c r="F23" s="42" t="s">
        <v>296</v>
      </c>
      <c r="N23" s="16"/>
    </row>
    <row r="24" spans="2:15" ht="18" customHeight="1">
      <c r="B24" t="s">
        <v>358</v>
      </c>
      <c r="E24" s="39" t="s">
        <v>262</v>
      </c>
      <c r="F24" s="42" t="s">
        <v>298</v>
      </c>
      <c r="N24" s="16"/>
    </row>
    <row r="25" spans="2:15" ht="18" customHeight="1">
      <c r="B25" t="s">
        <v>358</v>
      </c>
      <c r="F25" s="42" t="s">
        <v>323</v>
      </c>
      <c r="N25" s="16"/>
    </row>
    <row r="26" spans="2:15" ht="18" customHeight="1">
      <c r="O26" s="29" t="s">
        <v>358</v>
      </c>
    </row>
  </sheetData>
  <pageMargins left="0" right="0" top="0" bottom="0" header="0" footer="0"/>
  <pageSetup paperSize="9" scale="73" fitToHeight="0"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6"/>
  <sheetViews>
    <sheetView zoomScale="90" zoomScaleNormal="90" workbookViewId="0">
      <selection activeCell="O15" sqref="O15"/>
    </sheetView>
  </sheetViews>
  <sheetFormatPr defaultColWidth="10.625" defaultRowHeight="14.25"/>
  <cols>
    <col min="1" max="1" width="14.625" customWidth="1"/>
    <col min="4" max="4" width="11.625" customWidth="1"/>
    <col min="5" max="5" width="1.875" customWidth="1"/>
    <col min="6" max="6" width="37.375" customWidth="1"/>
    <col min="7" max="7" width="7.1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1"/>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1"/>
      <c r="G4" s="131"/>
      <c r="H4" s="132"/>
      <c r="I4" s="132"/>
      <c r="J4" s="132"/>
      <c r="K4" s="132"/>
      <c r="L4" s="132"/>
      <c r="M4" s="132"/>
      <c r="N4" s="132"/>
      <c r="O4" s="133"/>
      <c r="P4" s="132"/>
    </row>
    <row r="5" spans="1:16" ht="18" customHeight="1">
      <c r="B5" t="s">
        <v>358</v>
      </c>
      <c r="F5" s="30"/>
      <c r="G5" s="30"/>
    </row>
    <row r="6" spans="1:16" ht="18" customHeight="1">
      <c r="B6" t="s">
        <v>358</v>
      </c>
      <c r="D6" s="29" t="s">
        <v>358</v>
      </c>
      <c r="F6" s="12" t="s">
        <v>136</v>
      </c>
      <c r="G6" s="12"/>
      <c r="O6" s="62"/>
    </row>
    <row r="7" spans="1:16" ht="20.100000000000001" customHeight="1">
      <c r="B7" t="s">
        <v>358</v>
      </c>
      <c r="D7" s="29" t="s">
        <v>358</v>
      </c>
      <c r="F7" s="51"/>
      <c r="G7" s="51"/>
      <c r="H7" s="135" t="str">
        <f>CONCATENATE(H3,)</f>
        <v>2023</v>
      </c>
      <c r="I7" s="41" t="str">
        <f>CONCATENATE(I3," f")</f>
        <v>2024 f</v>
      </c>
      <c r="J7" s="41" t="str">
        <f>CONCATENATE(J3," f")</f>
        <v>2025 f</v>
      </c>
      <c r="K7" s="41" t="str">
        <f>CONCATENATE(K3," f")</f>
        <v>2026 f</v>
      </c>
      <c r="L7" s="41" t="str">
        <f>CONCATENATE(L3," z")</f>
        <v>2027 z</v>
      </c>
      <c r="M7" s="41" t="str">
        <f>CONCATENATE(M3," z")</f>
        <v>2028 z</v>
      </c>
      <c r="N7" s="41" t="str">
        <f>CONCATENATE(N3," z")</f>
        <v>2029 z</v>
      </c>
      <c r="O7" s="52" t="s">
        <v>184</v>
      </c>
    </row>
    <row r="8" spans="1:16" ht="27.95" customHeight="1">
      <c r="B8" t="s">
        <v>358</v>
      </c>
      <c r="F8" s="79" t="s">
        <v>108</v>
      </c>
      <c r="G8" s="79" t="s">
        <v>185</v>
      </c>
      <c r="H8" s="52"/>
      <c r="I8" s="52"/>
      <c r="J8" s="52"/>
      <c r="K8" s="52"/>
      <c r="L8" s="52"/>
      <c r="M8" s="52"/>
      <c r="N8" s="52"/>
    </row>
    <row r="9" spans="1:16" ht="20.100000000000001" customHeight="1">
      <c r="B9" s="29" t="s">
        <v>358</v>
      </c>
      <c r="F9" s="80" t="s">
        <v>52</v>
      </c>
      <c r="G9" s="80" t="s">
        <v>35</v>
      </c>
      <c r="H9" s="45">
        <v>63.5</v>
      </c>
      <c r="I9" s="45">
        <v>59.497404969813601</v>
      </c>
      <c r="J9" s="45">
        <v>50.782703606012298</v>
      </c>
      <c r="K9" s="45">
        <v>52.937922345691199</v>
      </c>
      <c r="L9" s="45">
        <v>52.854524009605903</v>
      </c>
      <c r="M9" s="45">
        <v>50.372523547647504</v>
      </c>
      <c r="N9" s="45">
        <v>47.191662561061101</v>
      </c>
      <c r="O9" s="16">
        <f>((N9/H9)^(1/6)-1)*100</f>
        <v>-4.8266713732994626</v>
      </c>
    </row>
    <row r="10" spans="1:16" ht="20.100000000000001" customHeight="1">
      <c r="B10" s="29" t="s">
        <v>358</v>
      </c>
      <c r="F10" s="80" t="s">
        <v>54</v>
      </c>
      <c r="G10" s="80" t="s">
        <v>35</v>
      </c>
      <c r="H10" s="45">
        <v>73</v>
      </c>
      <c r="I10" s="45">
        <v>77.407249844864197</v>
      </c>
      <c r="J10" s="45">
        <v>81.315478895465901</v>
      </c>
      <c r="K10" s="45">
        <v>83.914458422162696</v>
      </c>
      <c r="L10" s="45">
        <v>85.673458888163196</v>
      </c>
      <c r="M10" s="45">
        <v>87.158691052307503</v>
      </c>
      <c r="N10" s="45">
        <v>88.756328663400197</v>
      </c>
      <c r="O10" s="16">
        <f>((N10/H10)^(1/6)-1)*100</f>
        <v>3.3108841360765195</v>
      </c>
    </row>
    <row r="11" spans="1:16" ht="20.100000000000001" customHeight="1">
      <c r="B11" s="29" t="s">
        <v>358</v>
      </c>
      <c r="F11" s="80" t="s">
        <v>55</v>
      </c>
      <c r="G11" s="80" t="s">
        <v>35</v>
      </c>
      <c r="H11" s="45">
        <v>40</v>
      </c>
      <c r="I11" s="45">
        <v>40.087906646549698</v>
      </c>
      <c r="J11" s="45">
        <v>40.281538909355703</v>
      </c>
      <c r="K11" s="45">
        <v>39.478444215029398</v>
      </c>
      <c r="L11" s="45">
        <v>38.685744980823998</v>
      </c>
      <c r="M11" s="45">
        <v>37.903330834063397</v>
      </c>
      <c r="N11" s="45">
        <v>37.903330834063397</v>
      </c>
      <c r="O11" s="16">
        <f>((N11/H11)^(1/6)-1)*100</f>
        <v>-0.89332692920510715</v>
      </c>
    </row>
    <row r="12" spans="1:16" ht="20.100000000000001" customHeight="1">
      <c r="B12" s="29" t="s">
        <v>358</v>
      </c>
      <c r="F12" s="80" t="s">
        <v>217</v>
      </c>
      <c r="G12" s="80" t="s">
        <v>35</v>
      </c>
      <c r="H12" s="45">
        <v>36</v>
      </c>
      <c r="I12" s="45">
        <v>36</v>
      </c>
      <c r="J12" s="45">
        <v>36</v>
      </c>
      <c r="K12" s="45">
        <v>36</v>
      </c>
      <c r="L12" s="45">
        <v>36</v>
      </c>
      <c r="M12" s="45">
        <v>36</v>
      </c>
      <c r="N12" s="45">
        <v>36</v>
      </c>
      <c r="O12" s="16">
        <f>((N12/H12)^(1/6)-1)*100</f>
        <v>0</v>
      </c>
    </row>
    <row r="13" spans="1:16" ht="20.100000000000001" customHeight="1">
      <c r="B13" s="29" t="s">
        <v>358</v>
      </c>
      <c r="F13" s="80" t="s">
        <v>82</v>
      </c>
      <c r="G13" s="80" t="s">
        <v>35</v>
      </c>
      <c r="H13" s="45">
        <v>34.233308574015702</v>
      </c>
      <c r="I13" s="45">
        <v>34.266529640458501</v>
      </c>
      <c r="J13" s="45">
        <v>33.652604431263804</v>
      </c>
      <c r="K13" s="45">
        <v>32.973820885799597</v>
      </c>
      <c r="L13" s="45">
        <v>32.302579276805403</v>
      </c>
      <c r="M13" s="45">
        <v>31.638814772813099</v>
      </c>
      <c r="N13" s="45">
        <v>31.638814772813099</v>
      </c>
      <c r="O13" s="16">
        <f>((N13/H13)^(1/6)-1)*100</f>
        <v>-1.3049839822899423</v>
      </c>
    </row>
    <row r="14" spans="1:16" ht="33.950000000000003" customHeight="1">
      <c r="B14" t="s">
        <v>358</v>
      </c>
      <c r="F14" s="79" t="s">
        <v>109</v>
      </c>
      <c r="G14" s="79"/>
      <c r="H14" s="45"/>
      <c r="I14" s="45"/>
      <c r="J14" s="45"/>
      <c r="K14" s="45"/>
      <c r="L14" s="45"/>
      <c r="M14" s="45"/>
      <c r="N14" s="45"/>
      <c r="O14" s="16"/>
    </row>
    <row r="15" spans="1:16" ht="20.100000000000001" customHeight="1">
      <c r="B15" s="29" t="s">
        <v>358</v>
      </c>
      <c r="F15" s="80" t="s">
        <v>22</v>
      </c>
      <c r="G15" s="80" t="s">
        <v>35</v>
      </c>
      <c r="H15" s="45">
        <v>151.13909480999999</v>
      </c>
      <c r="I15" s="45">
        <v>172.96658535708301</v>
      </c>
      <c r="J15" s="45">
        <v>175.51382206474099</v>
      </c>
      <c r="K15" s="45">
        <v>181.15516608167701</v>
      </c>
      <c r="L15" s="45">
        <v>180.246131249857</v>
      </c>
      <c r="M15" s="45">
        <v>176.00461484923301</v>
      </c>
      <c r="N15" s="45">
        <v>174.339537753711</v>
      </c>
      <c r="O15" s="16">
        <f t="shared" ref="O15:O21" si="1">((N15/H15)^(1/6)-1)*100</f>
        <v>2.4086196093086931</v>
      </c>
    </row>
    <row r="16" spans="1:16" ht="20.100000000000001" customHeight="1">
      <c r="B16" s="29" t="s">
        <v>358</v>
      </c>
      <c r="F16" s="80" t="s">
        <v>57</v>
      </c>
      <c r="G16" s="80" t="s">
        <v>35</v>
      </c>
      <c r="H16" s="45">
        <v>42.726284131657302</v>
      </c>
      <c r="I16" s="45">
        <v>42.234045835209699</v>
      </c>
      <c r="J16" s="45">
        <v>43.218522428104997</v>
      </c>
      <c r="K16" s="45">
        <v>43.710760724552699</v>
      </c>
      <c r="L16" s="45">
        <v>43.710760724552699</v>
      </c>
      <c r="M16" s="45">
        <v>43</v>
      </c>
      <c r="N16" s="45">
        <v>42</v>
      </c>
      <c r="O16" s="16">
        <f t="shared" si="1"/>
        <v>-0.28533657267433288</v>
      </c>
    </row>
    <row r="17" spans="2:16" ht="20.100000000000001" customHeight="1">
      <c r="B17" s="29" t="s">
        <v>358</v>
      </c>
      <c r="F17" s="80" t="s">
        <v>88</v>
      </c>
      <c r="G17" s="80" t="s">
        <v>35</v>
      </c>
      <c r="H17" s="45">
        <v>29</v>
      </c>
      <c r="I17" s="45">
        <v>28</v>
      </c>
      <c r="J17" s="45">
        <v>28</v>
      </c>
      <c r="K17" s="45">
        <v>27</v>
      </c>
      <c r="L17" s="45">
        <v>27</v>
      </c>
      <c r="M17" s="45">
        <v>26</v>
      </c>
      <c r="N17" s="45">
        <v>26</v>
      </c>
      <c r="O17" s="16">
        <f t="shared" si="1"/>
        <v>-1.8035264328698397</v>
      </c>
    </row>
    <row r="18" spans="2:16" ht="20.100000000000001" customHeight="1">
      <c r="B18" s="29" t="s">
        <v>358</v>
      </c>
      <c r="F18" s="80" t="s">
        <v>86</v>
      </c>
      <c r="G18" s="80" t="s">
        <v>35</v>
      </c>
      <c r="H18" s="45">
        <v>44</v>
      </c>
      <c r="I18" s="45">
        <v>41</v>
      </c>
      <c r="J18" s="45">
        <v>41</v>
      </c>
      <c r="K18" s="45">
        <v>42.171428571428599</v>
      </c>
      <c r="L18" s="45">
        <v>42.171428571428599</v>
      </c>
      <c r="M18" s="45">
        <v>42.171428571428599</v>
      </c>
      <c r="N18" s="45">
        <v>42.171428571428599</v>
      </c>
      <c r="O18" s="16">
        <f t="shared" si="1"/>
        <v>-0.7049483370541787</v>
      </c>
    </row>
    <row r="19" spans="2:16" ht="20.100000000000001" customHeight="1">
      <c r="B19" s="29" t="s">
        <v>358</v>
      </c>
      <c r="F19" s="80" t="s">
        <v>191</v>
      </c>
      <c r="G19" s="80" t="s">
        <v>35</v>
      </c>
      <c r="H19" s="45">
        <v>48</v>
      </c>
      <c r="I19" s="45">
        <v>40</v>
      </c>
      <c r="J19" s="45">
        <v>35</v>
      </c>
      <c r="K19" s="45">
        <v>35</v>
      </c>
      <c r="L19" s="45">
        <v>35</v>
      </c>
      <c r="M19" s="45">
        <v>35</v>
      </c>
      <c r="N19" s="45">
        <v>35</v>
      </c>
      <c r="O19" s="16">
        <f t="shared" si="1"/>
        <v>-5.1280556813865559</v>
      </c>
    </row>
    <row r="20" spans="2:16" ht="27.95" customHeight="1">
      <c r="B20" s="29" t="s">
        <v>358</v>
      </c>
      <c r="F20" s="80" t="s">
        <v>190</v>
      </c>
      <c r="G20" s="80" t="s">
        <v>35</v>
      </c>
      <c r="H20" s="45">
        <v>4.2319559033631897</v>
      </c>
      <c r="I20" s="45">
        <v>4.2319559033631897</v>
      </c>
      <c r="J20" s="45">
        <v>4.2319559033631897</v>
      </c>
      <c r="K20" s="45">
        <v>4.2319559033631897</v>
      </c>
      <c r="L20" s="45">
        <v>4.2319559033631897</v>
      </c>
      <c r="M20" s="45">
        <v>4.2319559033631897</v>
      </c>
      <c r="N20" s="45">
        <v>4.2319559033631897</v>
      </c>
      <c r="O20" s="16">
        <f t="shared" si="1"/>
        <v>0</v>
      </c>
    </row>
    <row r="21" spans="2:16" ht="34.5" customHeight="1">
      <c r="B21" s="29" t="s">
        <v>358</v>
      </c>
      <c r="F21" s="80" t="s">
        <v>107</v>
      </c>
      <c r="G21" s="82" t="s">
        <v>35</v>
      </c>
      <c r="H21" s="84">
        <v>348.74196779632501</v>
      </c>
      <c r="I21" s="84">
        <v>334.432587095656</v>
      </c>
      <c r="J21" s="84">
        <v>334.96430039620901</v>
      </c>
      <c r="K21" s="84">
        <v>340.269311281022</v>
      </c>
      <c r="L21" s="84">
        <v>339.36027644920102</v>
      </c>
      <c r="M21" s="84">
        <v>335.40799932402501</v>
      </c>
      <c r="N21" s="84">
        <v>332.74292222850301</v>
      </c>
      <c r="O21" s="83">
        <f t="shared" si="1"/>
        <v>-0.77964678046688052</v>
      </c>
    </row>
    <row r="22" spans="2:16" ht="9.9499999999999993" customHeight="1">
      <c r="B22" t="s">
        <v>358</v>
      </c>
      <c r="O22" s="16"/>
    </row>
    <row r="23" spans="2:16" ht="9.9499999999999993" customHeight="1">
      <c r="B23" t="s">
        <v>358</v>
      </c>
      <c r="O23" s="16"/>
      <c r="P23" s="29" t="s">
        <v>358</v>
      </c>
    </row>
    <row r="24" spans="2:16" ht="18" customHeight="1">
      <c r="B24" t="s">
        <v>358</v>
      </c>
      <c r="F24" s="16" t="s">
        <v>119</v>
      </c>
      <c r="G24" s="16"/>
      <c r="O24" s="16"/>
    </row>
    <row r="25" spans="2:16" ht="18" customHeight="1">
      <c r="B25" t="s">
        <v>358</v>
      </c>
      <c r="E25" s="39" t="s">
        <v>260</v>
      </c>
      <c r="F25" s="42" t="s">
        <v>312</v>
      </c>
      <c r="G25" s="69"/>
      <c r="O25" s="16"/>
    </row>
    <row r="26" spans="2:16" ht="18" customHeight="1">
      <c r="B26" t="s">
        <v>358</v>
      </c>
      <c r="E26" s="39" t="s">
        <v>262</v>
      </c>
      <c r="F26" s="42" t="s">
        <v>298</v>
      </c>
      <c r="G26" s="69"/>
      <c r="O26" s="16"/>
    </row>
    <row r="27" spans="2:16" ht="18" customHeight="1">
      <c r="B27" t="s">
        <v>358</v>
      </c>
      <c r="E27" s="39" t="s">
        <v>261</v>
      </c>
      <c r="F27" s="29" t="str">
        <f>CONCATENATE("Compound annual growth rate (per cent), for the period from ", $A$3 - 1, " to ", $A$3+ 5, " or for the equivalent financial years.")</f>
        <v>Compound annual growth rate (per cent), for the period from 2023 to 2029 or for the equivalent financial years.</v>
      </c>
      <c r="G27" s="39"/>
      <c r="O27" s="16"/>
    </row>
    <row r="28" spans="2:16" ht="18" customHeight="1">
      <c r="B28" t="s">
        <v>358</v>
      </c>
      <c r="F28" s="42" t="s">
        <v>324</v>
      </c>
      <c r="O28" s="16"/>
    </row>
    <row r="29" spans="2:16" ht="18" customHeight="1">
      <c r="O29" s="16"/>
      <c r="P29" s="29" t="s">
        <v>358</v>
      </c>
    </row>
    <row r="30" spans="2:16" ht="18" customHeight="1">
      <c r="I30" s="45"/>
      <c r="O30" s="16"/>
    </row>
    <row r="31" spans="2:16" ht="18" customHeight="1">
      <c r="O31" s="16"/>
    </row>
    <row r="32" spans="2:16" ht="18" customHeight="1">
      <c r="O32" s="16"/>
    </row>
    <row r="33" spans="15:15" ht="18" customHeight="1">
      <c r="O33" s="16"/>
    </row>
    <row r="34" spans="15:15" ht="18" customHeight="1">
      <c r="O34" s="16"/>
    </row>
    <row r="35" spans="15:15" ht="18" customHeight="1">
      <c r="O35" s="16"/>
    </row>
    <row r="36" spans="15:15" ht="18" customHeight="1">
      <c r="O36" s="16"/>
    </row>
    <row r="37" spans="15:15" ht="18" customHeight="1">
      <c r="O37" s="16"/>
    </row>
    <row r="38" spans="15:15" ht="18" customHeight="1">
      <c r="O38" s="16"/>
    </row>
    <row r="39" spans="15:15" ht="18" customHeight="1">
      <c r="O39" s="16"/>
    </row>
    <row r="40" spans="15:15" ht="18" customHeight="1">
      <c r="O40" s="16"/>
    </row>
    <row r="41" spans="15:15" ht="18" customHeight="1">
      <c r="O41" s="16"/>
    </row>
    <row r="42" spans="15:15" ht="18" customHeight="1">
      <c r="O42" s="16"/>
    </row>
    <row r="43" spans="15:15" ht="18" customHeight="1">
      <c r="O43" s="16"/>
    </row>
    <row r="44" spans="15:15" ht="18" customHeight="1">
      <c r="O44" s="16"/>
    </row>
    <row r="45" spans="15:15" ht="18" customHeight="1">
      <c r="O45" s="16"/>
    </row>
    <row r="46" spans="15:15" ht="18" customHeight="1">
      <c r="O46" s="16"/>
    </row>
  </sheetData>
  <pageMargins left="0" right="0" top="0" bottom="0" header="0" footer="0"/>
  <pageSetup paperSize="9" scale="73" fitToHeight="0"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58"/>
  <sheetViews>
    <sheetView zoomScale="90" zoomScaleNormal="90" workbookViewId="0">
      <selection activeCell="K51" sqref="K51"/>
    </sheetView>
  </sheetViews>
  <sheetFormatPr defaultColWidth="10.625" defaultRowHeight="14.25"/>
  <cols>
    <col min="1" max="1" width="14.625" customWidth="1"/>
    <col min="4" max="4" width="17.75" customWidth="1"/>
    <col min="5" max="5" width="2.125" customWidth="1"/>
    <col min="6" max="6" width="27.625" customWidth="1"/>
    <col min="7" max="7" width="9.625" customWidth="1"/>
    <col min="8" max="14" width="12.625" customWidth="1"/>
  </cols>
  <sheetData>
    <row r="1" spans="1:17" ht="57" customHeight="1">
      <c r="A1" s="85" t="s">
        <v>118</v>
      </c>
      <c r="H1" s="134" t="str">
        <f>HYPERLINK("#'Contents'!A1", "Back to Table of Contents")</f>
        <v>Back to Table of Contents</v>
      </c>
    </row>
    <row r="2" spans="1:17" ht="18" customHeight="1">
      <c r="A2" s="130" t="s">
        <v>357</v>
      </c>
      <c r="B2" s="132"/>
      <c r="C2" s="132"/>
      <c r="D2" s="132"/>
      <c r="E2" s="132"/>
      <c r="F2" s="132"/>
      <c r="G2" s="132"/>
      <c r="H2" s="132"/>
      <c r="I2" s="132"/>
      <c r="J2" s="132"/>
      <c r="K2" s="132"/>
      <c r="L2" s="132"/>
      <c r="M2" s="132"/>
      <c r="N2" s="132"/>
      <c r="O2" s="132"/>
      <c r="P2" s="132"/>
      <c r="Q2" s="132"/>
    </row>
    <row r="3" spans="1:17"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c r="Q3" s="132"/>
    </row>
    <row r="4" spans="1:17" ht="18" customHeight="1">
      <c r="A4" s="129">
        <f>MONTH(A2)</f>
        <v>3</v>
      </c>
      <c r="B4" s="129" t="s">
        <v>358</v>
      </c>
      <c r="C4" s="132"/>
      <c r="D4" s="132"/>
      <c r="E4" s="132"/>
      <c r="F4" s="131"/>
      <c r="G4" s="132"/>
      <c r="H4" s="132"/>
      <c r="I4" s="132"/>
      <c r="J4" s="132"/>
      <c r="K4" s="132"/>
      <c r="L4" s="132"/>
      <c r="M4" s="132"/>
      <c r="N4" s="132"/>
      <c r="O4" s="133"/>
      <c r="P4" s="132"/>
      <c r="Q4" s="132"/>
    </row>
    <row r="5" spans="1:17" ht="18" customHeight="1">
      <c r="B5" t="s">
        <v>358</v>
      </c>
      <c r="F5" s="21"/>
    </row>
    <row r="6" spans="1:17" ht="25.5" customHeight="1">
      <c r="B6" t="s">
        <v>358</v>
      </c>
      <c r="D6" s="17" t="s">
        <v>358</v>
      </c>
      <c r="F6" s="12" t="s">
        <v>71</v>
      </c>
      <c r="H6" s="20" t="s">
        <v>0</v>
      </c>
      <c r="O6" s="62"/>
    </row>
    <row r="7" spans="1:17" ht="20.100000000000001" customHeight="1">
      <c r="B7" t="s">
        <v>358</v>
      </c>
      <c r="D7" s="17" t="s">
        <v>358</v>
      </c>
      <c r="F7" s="21"/>
      <c r="G7" s="11" t="s">
        <v>1</v>
      </c>
      <c r="H7" s="128">
        <f>H3</f>
        <v>2023</v>
      </c>
      <c r="I7" s="11" t="str">
        <f>CONCATENATE(I3," f")</f>
        <v>2024 f</v>
      </c>
      <c r="J7" s="11" t="str">
        <f>CONCATENATE(J3," f")</f>
        <v>2025 f</v>
      </c>
      <c r="K7" s="11" t="str">
        <f>CONCATENATE(K3," f")</f>
        <v>2026 f</v>
      </c>
      <c r="L7" s="11" t="str">
        <f>CONCATENATE(L3," z")</f>
        <v>2027 z</v>
      </c>
      <c r="M7" s="11" t="str">
        <f>CONCATENATE(M3," z")</f>
        <v>2028 z</v>
      </c>
      <c r="N7" s="11" t="str">
        <f>CONCATENATE(N3," z")</f>
        <v>2029 z</v>
      </c>
      <c r="O7" s="52" t="s">
        <v>184</v>
      </c>
    </row>
    <row r="8" spans="1:17" ht="27.95" customHeight="1">
      <c r="B8" t="s">
        <v>358</v>
      </c>
      <c r="F8" s="23" t="s">
        <v>30</v>
      </c>
      <c r="G8" s="88"/>
      <c r="H8" s="89"/>
      <c r="I8" s="89"/>
      <c r="J8" s="89"/>
      <c r="K8" s="89"/>
      <c r="L8" s="89"/>
      <c r="M8" s="89"/>
      <c r="N8" s="89"/>
    </row>
    <row r="9" spans="1:17" ht="20.100000000000001" customHeight="1">
      <c r="B9" t="s">
        <v>358</v>
      </c>
      <c r="F9" s="24" t="s">
        <v>123</v>
      </c>
      <c r="G9" s="88"/>
      <c r="H9" s="89"/>
      <c r="I9" s="89"/>
      <c r="J9" s="89"/>
      <c r="K9" s="89"/>
      <c r="L9" s="89"/>
      <c r="M9" s="89"/>
      <c r="N9" s="89"/>
    </row>
    <row r="10" spans="1:17" ht="20.100000000000001" customHeight="1">
      <c r="B10" s="17" t="s">
        <v>358</v>
      </c>
      <c r="F10" s="25" t="s">
        <v>8</v>
      </c>
      <c r="G10" s="92" t="s">
        <v>9</v>
      </c>
      <c r="H10" s="61">
        <v>395</v>
      </c>
      <c r="I10" s="61">
        <v>200</v>
      </c>
      <c r="J10" s="61">
        <v>138.96365002468201</v>
      </c>
      <c r="K10" s="61">
        <v>131.607353358247</v>
      </c>
      <c r="L10" s="61">
        <v>126.41454409079699</v>
      </c>
      <c r="M10" s="61">
        <v>129.45186328109099</v>
      </c>
      <c r="N10" s="61">
        <v>129.25655435466501</v>
      </c>
      <c r="O10" s="16">
        <f>((N10/H10)^(1/6)-1)*100</f>
        <v>-16.987674594423385</v>
      </c>
    </row>
    <row r="11" spans="1:17" ht="20.100000000000001" customHeight="1">
      <c r="B11" s="17" t="s">
        <v>358</v>
      </c>
      <c r="F11" s="25" t="s">
        <v>124</v>
      </c>
      <c r="G11" s="92" t="s">
        <v>9</v>
      </c>
      <c r="H11" s="86">
        <v>384</v>
      </c>
      <c r="I11" s="154">
        <v>200</v>
      </c>
      <c r="J11" s="154">
        <v>136.273260336052</v>
      </c>
      <c r="K11" s="154">
        <v>126.537696660667</v>
      </c>
      <c r="L11" s="154">
        <v>119.009961716112</v>
      </c>
      <c r="M11" s="154">
        <v>119.391816282702</v>
      </c>
      <c r="N11" s="154">
        <v>116.723147818507</v>
      </c>
      <c r="O11" s="16">
        <f>((N11/H11)^(1/6)-1)*100</f>
        <v>-18.001804628229003</v>
      </c>
    </row>
    <row r="12" spans="1:17" ht="20.100000000000001" customHeight="1">
      <c r="B12" t="s">
        <v>358</v>
      </c>
      <c r="F12" s="25" t="s">
        <v>170</v>
      </c>
      <c r="G12" s="92"/>
      <c r="H12" s="61"/>
      <c r="I12" s="61"/>
      <c r="J12" s="61"/>
      <c r="K12" s="61"/>
      <c r="L12" s="61"/>
      <c r="M12" s="61"/>
      <c r="N12" s="61"/>
      <c r="O12" s="16"/>
    </row>
    <row r="13" spans="1:17" ht="20.100000000000001" customHeight="1">
      <c r="B13" s="17" t="s">
        <v>358</v>
      </c>
      <c r="F13" s="25" t="s">
        <v>163</v>
      </c>
      <c r="G13" s="92" t="s">
        <v>9</v>
      </c>
      <c r="H13" s="61">
        <v>172.58788461538401</v>
      </c>
      <c r="I13" s="61">
        <v>133.20216346153799</v>
      </c>
      <c r="J13" s="61">
        <v>127.507163461538</v>
      </c>
      <c r="K13" s="61">
        <v>116.031163461538</v>
      </c>
      <c r="L13" s="61">
        <v>118.795441861538</v>
      </c>
      <c r="M13" s="61">
        <v>118.617690294178</v>
      </c>
      <c r="N13" s="61">
        <v>116.782883252188</v>
      </c>
      <c r="O13" s="16">
        <f t="shared" ref="O13:O44" si="1">((N13/H13)^(1/6)-1)*100</f>
        <v>-6.3024688085712928</v>
      </c>
    </row>
    <row r="14" spans="1:17" ht="20.100000000000001" customHeight="1">
      <c r="B14" s="17" t="s">
        <v>358</v>
      </c>
      <c r="F14" s="25" t="s">
        <v>171</v>
      </c>
      <c r="G14" s="92" t="s">
        <v>9</v>
      </c>
      <c r="H14" s="61">
        <v>176.38481807692301</v>
      </c>
      <c r="I14" s="61">
        <v>133.20216346153799</v>
      </c>
      <c r="J14" s="61">
        <v>125.129699177172</v>
      </c>
      <c r="K14" s="61">
        <v>111.465594035904</v>
      </c>
      <c r="L14" s="61">
        <v>111.822042996109</v>
      </c>
      <c r="M14" s="61">
        <v>109.32393922081199</v>
      </c>
      <c r="N14" s="61">
        <v>105.38605937601901</v>
      </c>
      <c r="O14" s="16">
        <f t="shared" si="1"/>
        <v>-8.2258591864792781</v>
      </c>
    </row>
    <row r="15" spans="1:17" ht="20.100000000000001" customHeight="1">
      <c r="B15" t="s">
        <v>358</v>
      </c>
      <c r="F15" s="25"/>
      <c r="G15" s="92"/>
      <c r="H15" s="61"/>
      <c r="I15" s="61"/>
      <c r="J15" s="61"/>
      <c r="K15" s="61"/>
      <c r="L15" s="61"/>
      <c r="M15" s="61"/>
      <c r="N15" s="61"/>
      <c r="O15" s="87"/>
    </row>
    <row r="16" spans="1:17" ht="20.100000000000001" customHeight="1">
      <c r="B16" t="s">
        <v>358</v>
      </c>
      <c r="F16" s="25"/>
      <c r="G16" s="92"/>
      <c r="H16" s="18">
        <f>H7</f>
        <v>2023</v>
      </c>
      <c r="I16" s="11" t="str">
        <f t="shared" ref="I16:N16" si="2">I7</f>
        <v>2024 f</v>
      </c>
      <c r="J16" s="11" t="str">
        <f t="shared" si="2"/>
        <v>2025 f</v>
      </c>
      <c r="K16" s="11" t="str">
        <f t="shared" si="2"/>
        <v>2026 f</v>
      </c>
      <c r="L16" s="11" t="str">
        <f t="shared" si="2"/>
        <v>2027 z</v>
      </c>
      <c r="M16" s="11" t="str">
        <f t="shared" si="2"/>
        <v>2028 z</v>
      </c>
      <c r="N16" s="11" t="str">
        <f t="shared" si="2"/>
        <v>2029 z</v>
      </c>
      <c r="O16" s="52" t="s">
        <v>184</v>
      </c>
    </row>
    <row r="17" spans="2:15" ht="27.95" customHeight="1">
      <c r="B17" s="17" t="s">
        <v>358</v>
      </c>
      <c r="F17" s="24" t="s">
        <v>49</v>
      </c>
      <c r="G17" s="92" t="s">
        <v>35</v>
      </c>
      <c r="H17" s="61">
        <v>1120.1941668007701</v>
      </c>
      <c r="I17" s="61">
        <v>1096.05179790545</v>
      </c>
      <c r="J17" s="61">
        <v>1095.64497941944</v>
      </c>
      <c r="K17" s="61">
        <v>1030.90648085269</v>
      </c>
      <c r="L17" s="61">
        <v>1007.66195193704</v>
      </c>
      <c r="M17" s="61">
        <v>966.07895056960399</v>
      </c>
      <c r="N17" s="61">
        <v>956.70182920654099</v>
      </c>
      <c r="O17" s="16">
        <f t="shared" si="1"/>
        <v>-2.5951572451582527</v>
      </c>
    </row>
    <row r="18" spans="2:15" ht="27.95" customHeight="1">
      <c r="B18" t="s">
        <v>358</v>
      </c>
      <c r="F18" s="24" t="s">
        <v>50</v>
      </c>
      <c r="G18" s="92"/>
      <c r="H18" s="61"/>
      <c r="I18" s="61"/>
      <c r="J18" s="61"/>
      <c r="K18" s="61"/>
      <c r="L18" s="61"/>
      <c r="M18" s="61"/>
      <c r="N18" s="61"/>
      <c r="O18" s="16"/>
    </row>
    <row r="19" spans="2:15" ht="20.100000000000001" customHeight="1">
      <c r="B19" s="17" t="s">
        <v>358</v>
      </c>
      <c r="F19" s="25" t="s">
        <v>51</v>
      </c>
      <c r="G19" s="92" t="s">
        <v>35</v>
      </c>
      <c r="H19" s="61">
        <v>967.81162716456004</v>
      </c>
      <c r="I19" s="61">
        <v>926.881269903202</v>
      </c>
      <c r="J19" s="61">
        <v>931.24926366401496</v>
      </c>
      <c r="K19" s="61">
        <v>893.71245654866004</v>
      </c>
      <c r="L19" s="61">
        <v>880.05992898333</v>
      </c>
      <c r="M19" s="61">
        <v>844.68233178200501</v>
      </c>
      <c r="N19" s="61">
        <v>835.30521041894201</v>
      </c>
      <c r="O19" s="16">
        <f t="shared" si="1"/>
        <v>-2.4241389171614003</v>
      </c>
    </row>
    <row r="20" spans="2:15" ht="20.100000000000001" customHeight="1">
      <c r="B20" s="17" t="s">
        <v>358</v>
      </c>
      <c r="F20" s="25" t="s">
        <v>52</v>
      </c>
      <c r="G20" s="92" t="s">
        <v>35</v>
      </c>
      <c r="H20" s="61">
        <v>371.50851119538498</v>
      </c>
      <c r="I20" s="61">
        <v>305.81651119538498</v>
      </c>
      <c r="J20" s="61">
        <v>291.418919195385</v>
      </c>
      <c r="K20" s="61">
        <v>240.180607743385</v>
      </c>
      <c r="L20" s="61">
        <v>219.64102067064499</v>
      </c>
      <c r="M20" s="61">
        <v>175.107187983041</v>
      </c>
      <c r="N20" s="61">
        <v>160.730066619978</v>
      </c>
      <c r="O20" s="16">
        <f t="shared" si="1"/>
        <v>-13.032952506922745</v>
      </c>
    </row>
    <row r="21" spans="2:15" ht="20.100000000000001" customHeight="1">
      <c r="B21" s="17" t="s">
        <v>358</v>
      </c>
      <c r="F21" s="25" t="s">
        <v>54</v>
      </c>
      <c r="G21" s="92" t="s">
        <v>35</v>
      </c>
      <c r="H21" s="61">
        <v>177.820258</v>
      </c>
      <c r="I21" s="61">
        <v>185.61644562000001</v>
      </c>
      <c r="J21" s="61">
        <v>192.61517648658401</v>
      </c>
      <c r="K21" s="61">
        <v>200.41196699700501</v>
      </c>
      <c r="L21" s="61">
        <v>202.87989948902</v>
      </c>
      <c r="M21" s="61">
        <v>205.96350000000001</v>
      </c>
      <c r="N21" s="61">
        <v>206.96350000000001</v>
      </c>
      <c r="O21" s="16">
        <f t="shared" si="1"/>
        <v>2.5617495605327667</v>
      </c>
    </row>
    <row r="22" spans="2:15" ht="20.100000000000001" customHeight="1">
      <c r="B22" s="17" t="s">
        <v>358</v>
      </c>
      <c r="F22" s="25" t="s">
        <v>55</v>
      </c>
      <c r="G22" s="92" t="s">
        <v>35</v>
      </c>
      <c r="H22" s="61">
        <v>127</v>
      </c>
      <c r="I22" s="61">
        <v>125.866071428571</v>
      </c>
      <c r="J22" s="61">
        <v>124.835227272727</v>
      </c>
      <c r="K22" s="61">
        <v>123.28896103896101</v>
      </c>
      <c r="L22" s="61">
        <v>120.196428571429</v>
      </c>
      <c r="M22" s="61">
        <v>118.650162337662</v>
      </c>
      <c r="N22" s="61">
        <v>118.650162337662</v>
      </c>
      <c r="O22" s="16">
        <f t="shared" si="1"/>
        <v>-1.1270627741538308</v>
      </c>
    </row>
    <row r="23" spans="2:15" ht="20.100000000000001" customHeight="1">
      <c r="B23" s="17" t="s">
        <v>358</v>
      </c>
      <c r="F23" s="25" t="s">
        <v>82</v>
      </c>
      <c r="G23" s="92" t="s">
        <v>35</v>
      </c>
      <c r="H23" s="61">
        <v>97</v>
      </c>
      <c r="I23" s="61">
        <v>96.472252448313398</v>
      </c>
      <c r="J23" s="61">
        <v>95.944504896626796</v>
      </c>
      <c r="K23" s="61">
        <v>95.100108813928202</v>
      </c>
      <c r="L23" s="61">
        <v>93.305767138193701</v>
      </c>
      <c r="M23" s="61">
        <v>93.305767138193701</v>
      </c>
      <c r="N23" s="61">
        <v>93.305767138193701</v>
      </c>
      <c r="O23" s="16">
        <f t="shared" si="1"/>
        <v>-0.64506148310988776</v>
      </c>
    </row>
    <row r="24" spans="2:15" ht="20.100000000000001" customHeight="1">
      <c r="B24" s="17" t="s">
        <v>358</v>
      </c>
      <c r="F24" s="25" t="s">
        <v>234</v>
      </c>
      <c r="G24" s="92" t="s">
        <v>35</v>
      </c>
      <c r="H24" s="61">
        <v>59</v>
      </c>
      <c r="I24" s="61">
        <v>58.366726296958802</v>
      </c>
      <c r="J24" s="61">
        <v>56.889087656529497</v>
      </c>
      <c r="K24" s="61">
        <v>55.200357781753098</v>
      </c>
      <c r="L24" s="61">
        <v>53.089445438282702</v>
      </c>
      <c r="M24" s="61">
        <v>52.033989266547401</v>
      </c>
      <c r="N24" s="61">
        <v>52.033989266547401</v>
      </c>
      <c r="O24" s="16">
        <f>((N24/H24)^(1/6)-1)*100</f>
        <v>-2.0722329349055268</v>
      </c>
    </row>
    <row r="25" spans="2:15" ht="27.95" customHeight="1">
      <c r="B25" s="17" t="s">
        <v>358</v>
      </c>
      <c r="F25" s="25" t="s">
        <v>56</v>
      </c>
      <c r="G25" s="92" t="s">
        <v>35</v>
      </c>
      <c r="H25" s="61">
        <v>101.91343168501</v>
      </c>
      <c r="I25" s="61">
        <v>96.666740567788807</v>
      </c>
      <c r="J25" s="61">
        <v>89.229910531152299</v>
      </c>
      <c r="K25" s="61">
        <v>78.226938509130704</v>
      </c>
      <c r="L25" s="61">
        <v>70.070668185547405</v>
      </c>
      <c r="M25" s="61">
        <v>66.604503080390401</v>
      </c>
      <c r="N25" s="61">
        <v>66.604503080390401</v>
      </c>
      <c r="O25" s="16">
        <f t="shared" si="1"/>
        <v>-6.8437435445453554</v>
      </c>
    </row>
    <row r="26" spans="2:15" ht="20.100000000000001" customHeight="1">
      <c r="B26" s="17" t="s">
        <v>358</v>
      </c>
      <c r="F26" s="25" t="s">
        <v>235</v>
      </c>
      <c r="G26" s="92" t="s">
        <v>35</v>
      </c>
      <c r="H26" s="61">
        <v>80.830999266318898</v>
      </c>
      <c r="I26" s="61">
        <v>76.669670589275498</v>
      </c>
      <c r="J26" s="61">
        <v>70.771268452322303</v>
      </c>
      <c r="K26" s="61">
        <v>62.044438153954701</v>
      </c>
      <c r="L26" s="61">
        <v>55.575423524174298</v>
      </c>
      <c r="M26" s="61">
        <v>52.826290417383902</v>
      </c>
      <c r="N26" s="61">
        <v>52.826290417383902</v>
      </c>
      <c r="O26" s="16">
        <f t="shared" si="1"/>
        <v>-6.8437435445454113</v>
      </c>
    </row>
    <row r="27" spans="2:15" ht="20.100000000000001" customHeight="1">
      <c r="B27" s="17" t="s">
        <v>358</v>
      </c>
      <c r="F27" s="25" t="s">
        <v>83</v>
      </c>
      <c r="G27" s="92" t="s">
        <v>35</v>
      </c>
      <c r="H27" s="61">
        <v>21.0824324186915</v>
      </c>
      <c r="I27" s="61">
        <v>19.997069978513299</v>
      </c>
      <c r="J27" s="61">
        <v>18.458642078830099</v>
      </c>
      <c r="K27" s="61">
        <v>16.182500355176</v>
      </c>
      <c r="L27" s="61">
        <v>14.4952446613731</v>
      </c>
      <c r="M27" s="61">
        <v>13.778212663006499</v>
      </c>
      <c r="N27" s="61">
        <v>13.778212663006499</v>
      </c>
      <c r="O27" s="16">
        <f t="shared" si="1"/>
        <v>-6.8437435445454442</v>
      </c>
    </row>
    <row r="28" spans="2:15" ht="27.95" customHeight="1">
      <c r="B28" t="s">
        <v>358</v>
      </c>
      <c r="F28" s="24" t="s">
        <v>13</v>
      </c>
      <c r="G28" s="92"/>
      <c r="H28" s="61"/>
      <c r="I28" s="61"/>
      <c r="J28" s="61"/>
      <c r="K28" s="61"/>
      <c r="L28" s="61"/>
      <c r="M28" s="61"/>
      <c r="N28" s="61"/>
      <c r="O28" s="16"/>
    </row>
    <row r="29" spans="2:15" ht="20.100000000000001" customHeight="1">
      <c r="B29" s="17" t="s">
        <v>358</v>
      </c>
      <c r="F29" s="25" t="s">
        <v>85</v>
      </c>
      <c r="G29" s="92" t="s">
        <v>35</v>
      </c>
      <c r="H29" s="61">
        <v>521</v>
      </c>
      <c r="I29" s="61">
        <v>518.18073593073598</v>
      </c>
      <c r="J29" s="61">
        <v>515.92532467532499</v>
      </c>
      <c r="K29" s="61">
        <v>512.54220779220805</v>
      </c>
      <c r="L29" s="61">
        <v>507.46753246753201</v>
      </c>
      <c r="M29" s="61">
        <v>507.46753246753201</v>
      </c>
      <c r="N29" s="61">
        <v>507.46753246753201</v>
      </c>
      <c r="O29" s="16">
        <f>((N29/H29)^(1/6)-1)*100</f>
        <v>-0.43766126474246159</v>
      </c>
    </row>
    <row r="30" spans="2:15" ht="20.100000000000001" customHeight="1">
      <c r="B30" s="17" t="s">
        <v>358</v>
      </c>
      <c r="F30" s="25" t="s">
        <v>22</v>
      </c>
      <c r="G30" s="92" t="s">
        <v>35</v>
      </c>
      <c r="H30" s="61">
        <v>202.34044596999999</v>
      </c>
      <c r="I30" s="61">
        <v>202.44455929181299</v>
      </c>
      <c r="J30" s="61">
        <v>203.16798658309801</v>
      </c>
      <c r="K30" s="61">
        <v>205.68948359472901</v>
      </c>
      <c r="L30" s="61">
        <v>205.29259095117999</v>
      </c>
      <c r="M30" s="61">
        <v>206.065265829455</v>
      </c>
      <c r="N30" s="61">
        <v>205.27362067036</v>
      </c>
      <c r="O30" s="16">
        <f t="shared" si="1"/>
        <v>0.24015740553802178</v>
      </c>
    </row>
    <row r="31" spans="2:15" ht="20.100000000000001" customHeight="1">
      <c r="B31" s="17" t="s">
        <v>358</v>
      </c>
      <c r="F31" s="25" t="s">
        <v>86</v>
      </c>
      <c r="G31" s="92" t="s">
        <v>35</v>
      </c>
      <c r="H31" s="61">
        <v>132.543552974633</v>
      </c>
      <c r="I31" s="61">
        <v>130.246606863956</v>
      </c>
      <c r="J31" s="61">
        <v>128.31576787032299</v>
      </c>
      <c r="K31" s="61">
        <v>125.42142727171399</v>
      </c>
      <c r="L31" s="61">
        <v>122.25069924584299</v>
      </c>
      <c r="M31" s="61">
        <v>119.375718717116</v>
      </c>
      <c r="N31" s="61">
        <v>119.375718717116</v>
      </c>
      <c r="O31" s="16">
        <f>((N31/H31)^(1/6)-1)*100</f>
        <v>-1.7288062084418243</v>
      </c>
    </row>
    <row r="32" spans="2:15" ht="20.100000000000001" customHeight="1">
      <c r="B32" s="17" t="s">
        <v>358</v>
      </c>
      <c r="F32" s="25" t="s">
        <v>84</v>
      </c>
      <c r="G32" s="92" t="s">
        <v>35</v>
      </c>
      <c r="H32" s="61">
        <v>55.979112975053198</v>
      </c>
      <c r="I32" s="61">
        <v>52.848355878584698</v>
      </c>
      <c r="J32" s="61">
        <v>50.046681360678598</v>
      </c>
      <c r="K32" s="61">
        <v>46.568740231125901</v>
      </c>
      <c r="L32" s="61">
        <v>44.054471408193599</v>
      </c>
      <c r="M32" s="61">
        <v>43.611665687684699</v>
      </c>
      <c r="N32" s="61">
        <v>38.567533928977902</v>
      </c>
      <c r="O32" s="16">
        <f t="shared" si="1"/>
        <v>-6.0206054181127229</v>
      </c>
    </row>
    <row r="33" spans="1:17" ht="20.100000000000001" customHeight="1">
      <c r="B33" s="17" t="s">
        <v>358</v>
      </c>
      <c r="F33" s="25" t="s">
        <v>87</v>
      </c>
      <c r="G33" s="92" t="s">
        <v>35</v>
      </c>
      <c r="H33" s="61">
        <v>74</v>
      </c>
      <c r="I33" s="61">
        <v>68</v>
      </c>
      <c r="J33" s="61">
        <v>64.3882483881399</v>
      </c>
      <c r="K33" s="61">
        <v>60.077538392264699</v>
      </c>
      <c r="L33" s="61">
        <v>60.1374431285331</v>
      </c>
      <c r="M33" s="61">
        <v>60.352491475529597</v>
      </c>
      <c r="N33" s="61">
        <v>59.219064409131398</v>
      </c>
      <c r="O33" s="16">
        <f t="shared" si="1"/>
        <v>-3.6455810058700466</v>
      </c>
    </row>
    <row r="34" spans="1:17" ht="21" customHeight="1">
      <c r="B34" s="17" t="s">
        <v>358</v>
      </c>
      <c r="F34" s="25" t="s">
        <v>57</v>
      </c>
      <c r="G34" s="92" t="s">
        <v>35</v>
      </c>
      <c r="H34" s="61">
        <v>44</v>
      </c>
      <c r="I34" s="61">
        <v>41.763466853318697</v>
      </c>
      <c r="J34" s="61">
        <v>40.448349739734397</v>
      </c>
      <c r="K34" s="61">
        <v>40.431504972255198</v>
      </c>
      <c r="L34" s="61">
        <v>40.2447112324896</v>
      </c>
      <c r="M34" s="61">
        <v>39.432158464509399</v>
      </c>
      <c r="N34" s="61">
        <v>39.273383785708702</v>
      </c>
      <c r="O34" s="16">
        <f t="shared" si="1"/>
        <v>-1.8762190734422424</v>
      </c>
    </row>
    <row r="35" spans="1:17" ht="21" customHeight="1">
      <c r="B35" t="s">
        <v>358</v>
      </c>
      <c r="F35" s="21"/>
      <c r="O35" s="16"/>
    </row>
    <row r="36" spans="1:17" ht="21" customHeight="1">
      <c r="A36" s="132"/>
      <c r="B36" s="129" t="s">
        <v>358</v>
      </c>
      <c r="C36" s="132"/>
      <c r="D36" s="132"/>
      <c r="E36" s="132"/>
      <c r="F36" s="131"/>
      <c r="G36" s="132"/>
      <c r="H36" s="133" t="str">
        <f t="shared" ref="H36:N36" si="3">CONCATENATE(H$3-1,"-",RIGHT(H$3,2))</f>
        <v>2022-23</v>
      </c>
      <c r="I36" s="133" t="str">
        <f t="shared" si="3"/>
        <v>2023-24</v>
      </c>
      <c r="J36" s="133" t="str">
        <f t="shared" si="3"/>
        <v>2024-25</v>
      </c>
      <c r="K36" s="133" t="str">
        <f t="shared" si="3"/>
        <v>2025-26</v>
      </c>
      <c r="L36" s="133" t="str">
        <f t="shared" si="3"/>
        <v>2026-27</v>
      </c>
      <c r="M36" s="133" t="str">
        <f t="shared" si="3"/>
        <v>2027-28</v>
      </c>
      <c r="N36" s="133" t="str">
        <f t="shared" si="3"/>
        <v>2028-29</v>
      </c>
      <c r="O36" s="141"/>
      <c r="P36" s="132"/>
      <c r="Q36" s="132"/>
    </row>
    <row r="37" spans="1:17" ht="21" customHeight="1">
      <c r="B37" s="17" t="s">
        <v>358</v>
      </c>
      <c r="F37" s="21"/>
      <c r="O37" s="20"/>
    </row>
    <row r="38" spans="1:17" ht="21" customHeight="1">
      <c r="B38" t="s">
        <v>358</v>
      </c>
      <c r="F38" s="21"/>
      <c r="H38" s="90"/>
      <c r="I38" s="90"/>
      <c r="J38" s="90"/>
      <c r="K38" s="90"/>
      <c r="L38" s="90"/>
      <c r="M38" s="90"/>
      <c r="N38" s="90"/>
      <c r="O38" s="87"/>
    </row>
    <row r="39" spans="1:17" ht="20.100000000000001" customHeight="1">
      <c r="B39" t="s">
        <v>358</v>
      </c>
      <c r="H39" s="18" t="str">
        <f>CONCATENATE(H$3-1,"–",RIGHT(H$3,2))</f>
        <v>2022–23</v>
      </c>
      <c r="I39" s="11" t="str">
        <f>CONCATENATE(CONCATENATE(I$3-1,"–",RIGHT(I$3,2)),IF($A$4&gt;6,""," s"))</f>
        <v>2023–24 s</v>
      </c>
      <c r="J39" s="11" t="str">
        <f>CONCATENATE(CONCATENATE(J$3-1,"–",RIGHT(J$3,2))," f")</f>
        <v>2024–25 f</v>
      </c>
      <c r="K39" s="11" t="str">
        <f>CONCATENATE(CONCATENATE(K$3-1,"–",RIGHT(K$3,2))," f")</f>
        <v>2025–26 f</v>
      </c>
      <c r="L39" s="11" t="str">
        <f>CONCATENATE(CONCATENATE(L$3-1,"–",RIGHT(L$3,2))," z")</f>
        <v>2026–27 z</v>
      </c>
      <c r="M39" s="11" t="str">
        <f>CONCATENATE(CONCATENATE(M$3-1,"–",RIGHT(M$3,2))," z")</f>
        <v>2027–28 z</v>
      </c>
      <c r="N39" s="11" t="str">
        <f>CONCATENATE(CONCATENATE(N$3-1,"–",RIGHT(N$3,2))," z")</f>
        <v>2028–29 z</v>
      </c>
      <c r="O39" s="52" t="s">
        <v>184</v>
      </c>
    </row>
    <row r="40" spans="1:17" ht="20.100000000000001" customHeight="1">
      <c r="B40" t="s">
        <v>358</v>
      </c>
      <c r="F40" s="23" t="s">
        <v>22</v>
      </c>
      <c r="H40" s="91"/>
      <c r="I40" s="91"/>
      <c r="J40" s="91"/>
      <c r="K40" s="91"/>
      <c r="L40" s="91"/>
      <c r="M40" s="91"/>
      <c r="N40" s="91"/>
      <c r="O40" s="16"/>
    </row>
    <row r="41" spans="1:17" ht="20.100000000000001" customHeight="1">
      <c r="B41" s="17" t="s">
        <v>358</v>
      </c>
      <c r="F41" s="24" t="s">
        <v>2</v>
      </c>
      <c r="G41" s="92" t="s">
        <v>35</v>
      </c>
      <c r="H41" s="61">
        <v>216.01476654399701</v>
      </c>
      <c r="I41" s="61">
        <v>252.34133615028301</v>
      </c>
      <c r="J41" s="61">
        <v>253.31758475683301</v>
      </c>
      <c r="K41" s="61">
        <v>250.749245266401</v>
      </c>
      <c r="L41" s="61">
        <v>252.05826285315001</v>
      </c>
      <c r="M41" s="61">
        <v>251.169210714466</v>
      </c>
      <c r="N41" s="61">
        <v>253.09869900470099</v>
      </c>
      <c r="O41" s="16">
        <f t="shared" si="1"/>
        <v>2.6757172762181369</v>
      </c>
    </row>
    <row r="42" spans="1:17" ht="27.95" customHeight="1">
      <c r="B42" s="17" t="s">
        <v>358</v>
      </c>
      <c r="F42" s="24" t="s">
        <v>39</v>
      </c>
      <c r="G42" s="92" t="s">
        <v>35</v>
      </c>
      <c r="H42" s="61">
        <v>182.13054994000001</v>
      </c>
      <c r="I42" s="61">
        <v>208.21810416564099</v>
      </c>
      <c r="J42" s="61">
        <v>202.96807167975399</v>
      </c>
      <c r="K42" s="61">
        <v>204.39973218932201</v>
      </c>
      <c r="L42" s="61">
        <v>205.70874977607099</v>
      </c>
      <c r="M42" s="61">
        <v>204.81969763738701</v>
      </c>
      <c r="N42" s="61">
        <v>206.749185927621</v>
      </c>
      <c r="O42" s="16">
        <f t="shared" si="1"/>
        <v>2.135527178596508</v>
      </c>
    </row>
    <row r="43" spans="1:17" ht="20.100000000000001" customHeight="1">
      <c r="B43" s="17" t="s">
        <v>358</v>
      </c>
      <c r="F43" s="25" t="s">
        <v>46</v>
      </c>
      <c r="G43" s="92" t="s">
        <v>16</v>
      </c>
      <c r="H43" s="61">
        <v>65500.100702000003</v>
      </c>
      <c r="I43" s="61">
        <v>36269.632828080401</v>
      </c>
      <c r="J43" s="61">
        <v>30117.701572823102</v>
      </c>
      <c r="K43" s="61">
        <v>27600.394785099001</v>
      </c>
      <c r="L43" s="61">
        <v>26192.211012431399</v>
      </c>
      <c r="M43" s="61">
        <v>27418.982125629402</v>
      </c>
      <c r="N43" s="61">
        <v>24216.681841092999</v>
      </c>
      <c r="O43" s="16">
        <f t="shared" si="1"/>
        <v>-15.281398488984021</v>
      </c>
    </row>
    <row r="44" spans="1:17" ht="20.100000000000001" customHeight="1">
      <c r="B44" s="17" t="s">
        <v>358</v>
      </c>
      <c r="F44" s="25" t="s">
        <v>129</v>
      </c>
      <c r="G44" s="92" t="s">
        <v>16</v>
      </c>
      <c r="H44" s="61">
        <v>68132.338478669699</v>
      </c>
      <c r="I44" s="61">
        <v>36269.632828080401</v>
      </c>
      <c r="J44" s="61">
        <v>29191.039009710399</v>
      </c>
      <c r="K44" s="61">
        <v>26032.325509600902</v>
      </c>
      <c r="L44" s="61">
        <v>24101.605163072702</v>
      </c>
      <c r="M44" s="61">
        <v>24615.081023621799</v>
      </c>
      <c r="N44" s="61">
        <v>21210.0021165703</v>
      </c>
      <c r="O44" s="16">
        <f t="shared" si="1"/>
        <v>-17.675095404302144</v>
      </c>
    </row>
    <row r="45" spans="1:17" ht="9.9499999999999993" customHeight="1">
      <c r="B45" t="s">
        <v>358</v>
      </c>
      <c r="O45" s="16"/>
    </row>
    <row r="46" spans="1:17" ht="9.9499999999999993" customHeight="1">
      <c r="B46" t="s">
        <v>358</v>
      </c>
      <c r="Q46" s="17" t="s">
        <v>358</v>
      </c>
    </row>
    <row r="47" spans="1:17" ht="18" customHeight="1">
      <c r="B47" t="s">
        <v>358</v>
      </c>
      <c r="F47" s="16" t="s">
        <v>119</v>
      </c>
    </row>
    <row r="48" spans="1:17" ht="18" customHeight="1">
      <c r="B48" t="s">
        <v>358</v>
      </c>
      <c r="E48" s="14" t="s">
        <v>254</v>
      </c>
      <c r="F48" s="24" t="s">
        <v>263</v>
      </c>
    </row>
    <row r="49" spans="2:17" ht="18" customHeight="1">
      <c r="B49" t="s">
        <v>358</v>
      </c>
      <c r="E49" s="14" t="s">
        <v>255</v>
      </c>
      <c r="F49" s="24" t="s">
        <v>264</v>
      </c>
    </row>
    <row r="50" spans="2:17" ht="18" customHeight="1">
      <c r="B50" t="s">
        <v>358</v>
      </c>
      <c r="E50" s="14" t="s">
        <v>256</v>
      </c>
      <c r="F50" s="24" t="s">
        <v>265</v>
      </c>
    </row>
    <row r="51" spans="2:17" ht="18" customHeight="1">
      <c r="B51" t="s">
        <v>358</v>
      </c>
      <c r="E51" s="14" t="s">
        <v>257</v>
      </c>
      <c r="F51" s="24" t="str">
        <f>CONCATENATE("In ", $A$3 -1, " calendar year US dollars")</f>
        <v>In 2023 calendar year US dollars</v>
      </c>
      <c r="Q51" s="17" t="s">
        <v>358</v>
      </c>
    </row>
    <row r="52" spans="2:17" ht="18" customHeight="1">
      <c r="B52" t="s">
        <v>358</v>
      </c>
      <c r="E52" s="14" t="s">
        <v>258</v>
      </c>
      <c r="F52" s="24" t="s">
        <v>266</v>
      </c>
    </row>
    <row r="53" spans="2:17" ht="18" customHeight="1">
      <c r="B53" t="s">
        <v>358</v>
      </c>
      <c r="E53" s="14" t="s">
        <v>259</v>
      </c>
      <c r="F53" s="24" t="s">
        <v>267</v>
      </c>
    </row>
    <row r="54" spans="2:17" ht="18" customHeight="1">
      <c r="B54" t="s">
        <v>358</v>
      </c>
      <c r="E54" s="14" t="s">
        <v>260</v>
      </c>
      <c r="F54" s="24" t="s">
        <v>268</v>
      </c>
    </row>
    <row r="55" spans="2:17" ht="18" customHeight="1">
      <c r="B55" t="s">
        <v>358</v>
      </c>
      <c r="E55" s="14" t="s">
        <v>261</v>
      </c>
      <c r="F55" s="29" t="str">
        <f>CONCATENATE("Compound annual growth rate (per cent), for the period from ", A3 - 1, " to ", A3+5, " or for the equivalent financial years.")</f>
        <v>Compound annual growth rate (per cent), for the period from 2023 to 2029 or for the equivalent financial years.</v>
      </c>
    </row>
    <row r="56" spans="2:17" ht="18" customHeight="1">
      <c r="B56" t="s">
        <v>358</v>
      </c>
      <c r="E56" s="14" t="s">
        <v>262</v>
      </c>
      <c r="F56" s="24" t="s">
        <v>298</v>
      </c>
    </row>
    <row r="57" spans="2:17" ht="18" customHeight="1">
      <c r="F57" s="16" t="s">
        <v>325</v>
      </c>
    </row>
    <row r="58" spans="2:17" ht="18" customHeight="1">
      <c r="F58" s="91"/>
    </row>
  </sheetData>
  <pageMargins left="0" right="0" top="0" bottom="0" header="0" footer="0"/>
  <pageSetup paperSize="9" scale="73" fitToHeight="0"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6"/>
  <sheetViews>
    <sheetView zoomScale="90" zoomScaleNormal="90" workbookViewId="0">
      <selection activeCell="I13" sqref="I13"/>
    </sheetView>
  </sheetViews>
  <sheetFormatPr defaultColWidth="10.625" defaultRowHeight="14.25"/>
  <cols>
    <col min="1" max="1" width="14.625" customWidth="1"/>
    <col min="4" max="4" width="11.625" customWidth="1"/>
    <col min="5" max="5" width="2.125" customWidth="1"/>
    <col min="6" max="6" width="27.625" customWidth="1"/>
    <col min="7" max="7" width="9.6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1"/>
      <c r="G4" s="132"/>
      <c r="H4" s="132"/>
      <c r="I4" s="132"/>
      <c r="J4" s="132"/>
      <c r="K4" s="132"/>
      <c r="L4" s="132"/>
      <c r="M4" s="132"/>
      <c r="N4" s="132"/>
      <c r="O4" s="133"/>
      <c r="P4" s="132"/>
    </row>
    <row r="5" spans="1:16" ht="18" customHeight="1">
      <c r="B5" t="s">
        <v>358</v>
      </c>
      <c r="F5" s="30"/>
    </row>
    <row r="6" spans="1:16" ht="18" customHeight="1">
      <c r="B6" t="s">
        <v>358</v>
      </c>
      <c r="D6" s="29" t="s">
        <v>358</v>
      </c>
      <c r="F6" s="12" t="s">
        <v>73</v>
      </c>
      <c r="H6" s="37" t="s">
        <v>0</v>
      </c>
      <c r="O6" s="62"/>
    </row>
    <row r="7" spans="1:16" ht="20.100000000000001" customHeight="1">
      <c r="B7" t="s">
        <v>358</v>
      </c>
      <c r="D7" s="29" t="s">
        <v>358</v>
      </c>
      <c r="F7" s="51"/>
      <c r="G7" s="41" t="s">
        <v>1</v>
      </c>
      <c r="H7" s="135">
        <f>H3</f>
        <v>2023</v>
      </c>
      <c r="I7" s="41" t="str">
        <f>CONCATENATE(I3," f")</f>
        <v>2024 f</v>
      </c>
      <c r="J7" s="41" t="str">
        <f>CONCATENATE(J3," f")</f>
        <v>2025 f</v>
      </c>
      <c r="K7" s="41" t="str">
        <f>CONCATENATE(K3," f")</f>
        <v>2026 f</v>
      </c>
      <c r="L7" s="41" t="str">
        <f>CONCATENATE(L3," z")</f>
        <v>2027 z</v>
      </c>
      <c r="M7" s="41" t="str">
        <f>CONCATENATE(M3," z")</f>
        <v>2028 z</v>
      </c>
      <c r="N7" s="41" t="str">
        <f>CONCATENATE(N3," z")</f>
        <v>2029 z</v>
      </c>
      <c r="O7" s="52" t="s">
        <v>184</v>
      </c>
    </row>
    <row r="8" spans="1:16" ht="27.95" customHeight="1">
      <c r="B8" t="s">
        <v>358</v>
      </c>
      <c r="F8" s="43" t="s">
        <v>30</v>
      </c>
      <c r="G8" s="32"/>
      <c r="H8" s="35"/>
      <c r="I8" s="35"/>
      <c r="J8" s="35"/>
      <c r="K8" s="35"/>
      <c r="L8" s="35"/>
      <c r="M8" s="35"/>
      <c r="N8" s="35"/>
    </row>
    <row r="9" spans="1:16" ht="20.100000000000001" customHeight="1">
      <c r="B9" s="29" t="s">
        <v>358</v>
      </c>
      <c r="F9" s="30" t="s">
        <v>143</v>
      </c>
      <c r="G9" s="32" t="s">
        <v>149</v>
      </c>
      <c r="H9" s="31">
        <v>102.196487281066</v>
      </c>
      <c r="I9" s="31">
        <v>102.755</v>
      </c>
      <c r="J9" s="31">
        <v>104.72476825059699</v>
      </c>
      <c r="K9" s="31">
        <v>105.459290549049</v>
      </c>
      <c r="L9" s="31">
        <v>105.96238801374299</v>
      </c>
      <c r="M9" s="31">
        <v>106.364865985497</v>
      </c>
      <c r="N9" s="31">
        <v>106.354804036204</v>
      </c>
      <c r="O9" s="16">
        <f>((N9/H9)^(1/6)-1)*100</f>
        <v>0.66693762991214545</v>
      </c>
    </row>
    <row r="10" spans="1:16" ht="27.95" customHeight="1">
      <c r="B10" s="29" t="s">
        <v>358</v>
      </c>
      <c r="F10" s="30" t="s">
        <v>144</v>
      </c>
      <c r="G10" s="32" t="s">
        <v>149</v>
      </c>
      <c r="H10" s="31">
        <v>101.9601</v>
      </c>
      <c r="I10" s="31">
        <v>103.3395</v>
      </c>
      <c r="J10" s="31">
        <v>104.56399999999999</v>
      </c>
      <c r="K10" s="31">
        <v>105.267120076849</v>
      </c>
      <c r="L10" s="31">
        <v>105.76934870317</v>
      </c>
      <c r="M10" s="31">
        <v>106.171131604227</v>
      </c>
      <c r="N10" s="31">
        <v>106.171131604227</v>
      </c>
      <c r="O10" s="16">
        <f t="shared" ref="O10:O13" si="1">((N10/H10)^(1/6)-1)*100</f>
        <v>0.67679130281754762</v>
      </c>
    </row>
    <row r="11" spans="1:16" ht="27.95" customHeight="1">
      <c r="B11" t="s">
        <v>358</v>
      </c>
      <c r="F11" s="46" t="s">
        <v>93</v>
      </c>
      <c r="G11" s="46"/>
      <c r="H11" s="31"/>
      <c r="I11" s="31"/>
      <c r="J11" s="31"/>
      <c r="K11" s="31"/>
      <c r="L11" s="31"/>
      <c r="M11" s="31"/>
      <c r="N11" s="31"/>
      <c r="O11" s="16"/>
    </row>
    <row r="12" spans="1:16" ht="20.100000000000001" customHeight="1">
      <c r="B12" s="29" t="s">
        <v>358</v>
      </c>
      <c r="F12" s="30" t="s">
        <v>8</v>
      </c>
      <c r="G12" s="32" t="s">
        <v>58</v>
      </c>
      <c r="H12" s="31">
        <v>77.649435483871002</v>
      </c>
      <c r="I12" s="31">
        <v>75.257690239860096</v>
      </c>
      <c r="J12" s="31">
        <v>71.561696256115795</v>
      </c>
      <c r="K12" s="31">
        <v>69.593965249567106</v>
      </c>
      <c r="L12" s="31">
        <v>68.9640824815678</v>
      </c>
      <c r="M12" s="31">
        <v>68.817428124599303</v>
      </c>
      <c r="N12" s="31">
        <v>69.125130587806098</v>
      </c>
      <c r="O12" s="16">
        <f t="shared" si="1"/>
        <v>-1.9194384538379849</v>
      </c>
    </row>
    <row r="13" spans="1:16" ht="20.100000000000001" customHeight="1">
      <c r="B13" s="29" t="s">
        <v>358</v>
      </c>
      <c r="F13" s="30" t="s">
        <v>126</v>
      </c>
      <c r="G13" s="32" t="s">
        <v>58</v>
      </c>
      <c r="H13" s="31">
        <v>79.357723064516193</v>
      </c>
      <c r="I13" s="31">
        <v>75.257690239860196</v>
      </c>
      <c r="J13" s="31">
        <v>70.227376110025304</v>
      </c>
      <c r="K13" s="31">
        <v>66.855596776192499</v>
      </c>
      <c r="L13" s="31">
        <v>64.915829055372797</v>
      </c>
      <c r="M13" s="31">
        <v>63.425550699628999</v>
      </c>
      <c r="N13" s="31">
        <v>62.379219570819302</v>
      </c>
      <c r="O13" s="16">
        <f t="shared" si="1"/>
        <v>-3.9328021565835924</v>
      </c>
    </row>
    <row r="14" spans="1:16" ht="27.95" customHeight="1">
      <c r="B14" t="s">
        <v>358</v>
      </c>
      <c r="F14" s="30" t="s">
        <v>59</v>
      </c>
      <c r="G14" s="32"/>
      <c r="H14" s="31"/>
      <c r="I14" s="31"/>
      <c r="J14" s="31"/>
      <c r="K14" s="31"/>
      <c r="L14" s="31"/>
      <c r="M14" s="31"/>
      <c r="N14" s="31"/>
      <c r="O14" s="16"/>
    </row>
    <row r="15" spans="1:16" ht="20.100000000000001" customHeight="1">
      <c r="B15" s="29" t="s">
        <v>358</v>
      </c>
      <c r="F15" s="30" t="s">
        <v>8</v>
      </c>
      <c r="G15" s="32" t="s">
        <v>58</v>
      </c>
      <c r="H15" s="31">
        <v>82.655815101243405</v>
      </c>
      <c r="I15" s="31">
        <v>79.865236661602907</v>
      </c>
      <c r="J15" s="31">
        <v>75.681163644630104</v>
      </c>
      <c r="K15" s="31">
        <v>73.547531418608401</v>
      </c>
      <c r="L15" s="31">
        <v>72.911697076531496</v>
      </c>
      <c r="M15" s="31">
        <v>72.808390060088698</v>
      </c>
      <c r="N15" s="31">
        <v>73.334500337280005</v>
      </c>
      <c r="O15" s="16">
        <f t="shared" ref="O15:O16" si="2">((N15/H15)^(1/6)-1)*100</f>
        <v>-1.9744801693965752</v>
      </c>
    </row>
    <row r="16" spans="1:16" ht="33.75" customHeight="1">
      <c r="B16" s="29" t="s">
        <v>358</v>
      </c>
      <c r="F16" s="30" t="s">
        <v>126</v>
      </c>
      <c r="G16" s="32" t="s">
        <v>58</v>
      </c>
      <c r="H16" s="31">
        <v>84.474243033470799</v>
      </c>
      <c r="I16" s="31">
        <v>79.865236661603006</v>
      </c>
      <c r="J16" s="31">
        <v>74.270033017301401</v>
      </c>
      <c r="K16" s="31">
        <v>70.653598868436603</v>
      </c>
      <c r="L16" s="31">
        <v>68.631715136966704</v>
      </c>
      <c r="M16" s="31">
        <v>67.103818915659502</v>
      </c>
      <c r="N16" s="31">
        <v>66.177797564442898</v>
      </c>
      <c r="O16" s="16">
        <f t="shared" si="2"/>
        <v>-3.9867139949219199</v>
      </c>
    </row>
    <row r="17" spans="1:16" ht="24.75" customHeight="1">
      <c r="B17" t="s">
        <v>358</v>
      </c>
      <c r="F17" s="30"/>
      <c r="G17" s="32"/>
      <c r="H17" s="31"/>
      <c r="I17" s="31"/>
      <c r="J17" s="31"/>
      <c r="K17" s="31"/>
      <c r="L17" s="31"/>
      <c r="M17" s="31"/>
      <c r="N17" s="31"/>
      <c r="O17" s="16"/>
    </row>
    <row r="18" spans="1:16" ht="24.75" customHeight="1">
      <c r="A18" s="132"/>
      <c r="B18" s="129" t="s">
        <v>358</v>
      </c>
      <c r="C18" s="132"/>
      <c r="D18" s="132"/>
      <c r="E18" s="132"/>
      <c r="F18" s="131"/>
      <c r="G18" s="143"/>
      <c r="H18" s="142" t="str">
        <f t="shared" ref="H18:N18" si="3">CONCATENATE(H$3-1,"-",RIGHT(H$3,2))</f>
        <v>2022-23</v>
      </c>
      <c r="I18" s="142" t="str">
        <f t="shared" si="3"/>
        <v>2023-24</v>
      </c>
      <c r="J18" s="142" t="str">
        <f t="shared" si="3"/>
        <v>2024-25</v>
      </c>
      <c r="K18" s="142" t="str">
        <f t="shared" si="3"/>
        <v>2025-26</v>
      </c>
      <c r="L18" s="142" t="str">
        <f t="shared" si="3"/>
        <v>2026-27</v>
      </c>
      <c r="M18" s="142" t="str">
        <f t="shared" si="3"/>
        <v>2027-28</v>
      </c>
      <c r="N18" s="142" t="str">
        <f t="shared" si="3"/>
        <v>2028-29</v>
      </c>
      <c r="O18" s="141"/>
      <c r="P18" s="132"/>
    </row>
    <row r="19" spans="1:16" ht="24.75" customHeight="1">
      <c r="B19" s="29" t="s">
        <v>358</v>
      </c>
      <c r="F19" s="30"/>
      <c r="G19" s="32"/>
      <c r="H19" s="31"/>
      <c r="I19" s="31"/>
      <c r="J19" s="31"/>
      <c r="K19" s="31"/>
      <c r="L19" s="31"/>
      <c r="M19" s="31"/>
      <c r="N19" s="31"/>
      <c r="O19" s="16"/>
    </row>
    <row r="20" spans="1:16" ht="33.75" customHeight="1">
      <c r="B20" t="s">
        <v>358</v>
      </c>
      <c r="F20" s="30"/>
      <c r="G20" s="32"/>
      <c r="H20" s="31"/>
      <c r="I20" s="31"/>
      <c r="J20" s="31"/>
      <c r="K20" s="31"/>
      <c r="L20" s="31"/>
      <c r="M20" s="31"/>
      <c r="N20" s="31"/>
      <c r="O20" s="16"/>
    </row>
    <row r="21" spans="1:16" ht="20.100000000000001" customHeight="1">
      <c r="B21" t="s">
        <v>358</v>
      </c>
      <c r="F21" s="30"/>
      <c r="H21" s="52" t="str">
        <f>CONCATENATE(H$3-1,"–",RIGHT(H$3,2))</f>
        <v>2022–23</v>
      </c>
      <c r="I21" s="52" t="str">
        <f>CONCATENATE(CONCATENATE(I$3-1,"–",RIGHT(I$3,2)),IF($A$4&gt;6,""," f"))</f>
        <v>2023–24 f</v>
      </c>
      <c r="J21" s="52" t="str">
        <f>CONCATENATE(CONCATENATE(J$3-1,"–",RIGHT(J$3,2))," f")</f>
        <v>2024–25 f</v>
      </c>
      <c r="K21" s="52" t="str">
        <f>CONCATENATE(CONCATENATE(K$3-1,"–",RIGHT(K$3,2))," f")</f>
        <v>2025–26 f</v>
      </c>
      <c r="L21" s="52" t="str">
        <f>CONCATENATE(CONCATENATE(L$3-1,"–",RIGHT(L$3,2))," z")</f>
        <v>2026–27 z</v>
      </c>
      <c r="M21" s="52" t="str">
        <f>CONCATENATE(CONCATENATE(M$3-1,"–",RIGHT(M$3,2))," z")</f>
        <v>2027–28 z</v>
      </c>
      <c r="N21" s="52" t="str">
        <f>CONCATENATE(CONCATENATE(N$3-1,"–",RIGHT(N$3,2))," z")</f>
        <v>2028–29 z</v>
      </c>
      <c r="O21" s="52" t="s">
        <v>184</v>
      </c>
    </row>
    <row r="22" spans="1:16" ht="20.100000000000001" customHeight="1">
      <c r="B22" t="s">
        <v>358</v>
      </c>
      <c r="F22" s="43" t="s">
        <v>22</v>
      </c>
      <c r="G22" s="32"/>
      <c r="H22" s="35"/>
      <c r="I22" s="35"/>
      <c r="J22" s="35"/>
      <c r="K22" s="35"/>
      <c r="L22" s="35"/>
      <c r="M22" s="35"/>
      <c r="N22" s="35"/>
      <c r="O22" s="16"/>
    </row>
    <row r="23" spans="1:16" ht="20.100000000000001" customHeight="1">
      <c r="B23" t="s">
        <v>358</v>
      </c>
      <c r="F23" s="30" t="s">
        <v>60</v>
      </c>
      <c r="G23" s="32"/>
      <c r="H23" s="35"/>
      <c r="I23" s="93"/>
      <c r="J23" s="93"/>
      <c r="K23" s="35"/>
      <c r="L23" s="35"/>
      <c r="M23" s="35"/>
      <c r="N23" s="35"/>
      <c r="O23" s="16"/>
    </row>
    <row r="24" spans="1:16" ht="20.100000000000001" customHeight="1">
      <c r="B24" s="29" t="s">
        <v>358</v>
      </c>
      <c r="F24" s="30" t="s">
        <v>236</v>
      </c>
      <c r="G24" s="32" t="s">
        <v>150</v>
      </c>
      <c r="H24" s="45">
        <v>291.47928000000002</v>
      </c>
      <c r="I24" s="45">
        <v>284.88601624807899</v>
      </c>
      <c r="J24" s="45">
        <v>275.09930711093</v>
      </c>
      <c r="K24" s="45">
        <v>260.00126361729599</v>
      </c>
      <c r="L24" s="45">
        <v>244.77333854640699</v>
      </c>
      <c r="M24" s="45">
        <v>228.00656400078901</v>
      </c>
      <c r="N24" s="45">
        <v>224.75008245799401</v>
      </c>
      <c r="O24" s="16">
        <f t="shared" ref="O24:O38" si="4">((N24/H24)^(1/6)-1)*100</f>
        <v>-4.2404649771468073</v>
      </c>
    </row>
    <row r="25" spans="1:16" ht="27.95" customHeight="1">
      <c r="B25" s="29" t="s">
        <v>358</v>
      </c>
      <c r="F25" s="30" t="s">
        <v>145</v>
      </c>
      <c r="G25" s="32" t="s">
        <v>150</v>
      </c>
      <c r="H25" s="45">
        <v>281.50747319052698</v>
      </c>
      <c r="I25" s="45">
        <v>273.81980551006598</v>
      </c>
      <c r="J25" s="45">
        <v>270.22096762999098</v>
      </c>
      <c r="K25" s="45">
        <v>253.527424209678</v>
      </c>
      <c r="L25" s="45">
        <v>236.67143215298699</v>
      </c>
      <c r="M25" s="45">
        <v>218.085613550332</v>
      </c>
      <c r="N25" s="45">
        <v>214.66895679250001</v>
      </c>
      <c r="O25" s="16">
        <f t="shared" si="4"/>
        <v>-4.4171697112781683</v>
      </c>
    </row>
    <row r="26" spans="1:16" ht="20.100000000000001" customHeight="1">
      <c r="B26" s="29" t="s">
        <v>358</v>
      </c>
      <c r="F26" s="38" t="s">
        <v>46</v>
      </c>
      <c r="G26" s="32" t="s">
        <v>16</v>
      </c>
      <c r="H26" s="47">
        <v>13192.844863</v>
      </c>
      <c r="I26" s="47">
        <v>13102.723437794501</v>
      </c>
      <c r="J26" s="47">
        <v>11567.8069842637</v>
      </c>
      <c r="K26" s="47">
        <v>9645.9685985651504</v>
      </c>
      <c r="L26" s="47">
        <v>8707.8435810297597</v>
      </c>
      <c r="M26" s="47">
        <v>7977.2826547124996</v>
      </c>
      <c r="N26" s="47">
        <v>7879.6299515800702</v>
      </c>
      <c r="O26" s="16">
        <f t="shared" si="4"/>
        <v>-8.2313038824952329</v>
      </c>
    </row>
    <row r="27" spans="1:16" ht="20.100000000000001" customHeight="1">
      <c r="B27" s="29" t="s">
        <v>358</v>
      </c>
      <c r="F27" s="30" t="s">
        <v>129</v>
      </c>
      <c r="G27" s="32" t="s">
        <v>16</v>
      </c>
      <c r="H27" s="47">
        <v>13723.0227445291</v>
      </c>
      <c r="I27" s="47">
        <v>13102.723437794501</v>
      </c>
      <c r="J27" s="47">
        <v>11211.888268364601</v>
      </c>
      <c r="K27" s="47">
        <v>9097.9493724055992</v>
      </c>
      <c r="L27" s="47">
        <v>8012.80226828373</v>
      </c>
      <c r="M27" s="47">
        <v>7161.5152595520804</v>
      </c>
      <c r="N27" s="47">
        <v>6901.31575611686</v>
      </c>
      <c r="O27" s="16">
        <f t="shared" si="4"/>
        <v>-10.824198959861098</v>
      </c>
    </row>
    <row r="28" spans="1:16" ht="27.95" customHeight="1">
      <c r="B28" s="29" t="s">
        <v>358</v>
      </c>
      <c r="F28" s="30" t="s">
        <v>146</v>
      </c>
      <c r="G28" s="32" t="s">
        <v>150</v>
      </c>
      <c r="H28" s="45">
        <v>169.395827924413</v>
      </c>
      <c r="I28" s="45">
        <v>182.92256089989701</v>
      </c>
      <c r="J28" s="45">
        <v>191.89950839621599</v>
      </c>
      <c r="K28" s="45">
        <v>190.60834261940099</v>
      </c>
      <c r="L28" s="45">
        <v>189.39951480564699</v>
      </c>
      <c r="M28" s="45">
        <v>188.199726343695</v>
      </c>
      <c r="N28" s="45">
        <v>187.008905125994</v>
      </c>
      <c r="O28" s="16">
        <f t="shared" si="4"/>
        <v>1.6622996965604209</v>
      </c>
    </row>
    <row r="29" spans="1:16" ht="27.95" customHeight="1">
      <c r="B29" t="s">
        <v>358</v>
      </c>
      <c r="F29" s="30" t="s">
        <v>61</v>
      </c>
      <c r="G29" s="32" t="s">
        <v>0</v>
      </c>
      <c r="H29" s="36"/>
      <c r="I29" s="36"/>
      <c r="J29" s="36"/>
      <c r="K29" s="36"/>
      <c r="L29" s="36"/>
      <c r="M29" s="36"/>
      <c r="N29" s="36"/>
      <c r="O29" s="16"/>
    </row>
    <row r="30" spans="1:16" ht="20.100000000000001" customHeight="1">
      <c r="B30" s="29" t="s">
        <v>358</v>
      </c>
      <c r="F30" s="30" t="s">
        <v>237</v>
      </c>
      <c r="G30" s="32" t="s">
        <v>150</v>
      </c>
      <c r="H30" s="45">
        <v>92.897711999999999</v>
      </c>
      <c r="I30" s="45">
        <v>100.55238177577399</v>
      </c>
      <c r="J30" s="45">
        <v>105.32957554280399</v>
      </c>
      <c r="K30" s="45">
        <v>103.96695324385099</v>
      </c>
      <c r="L30" s="45">
        <v>107.68734882663701</v>
      </c>
      <c r="M30" s="45">
        <v>106.51754837845399</v>
      </c>
      <c r="N30" s="45">
        <v>105.123556330261</v>
      </c>
      <c r="O30" s="16">
        <f t="shared" si="4"/>
        <v>2.0820002223793654</v>
      </c>
    </row>
    <row r="31" spans="1:16" ht="27.95" customHeight="1">
      <c r="B31" s="29" t="s">
        <v>358</v>
      </c>
      <c r="F31" s="30" t="s">
        <v>145</v>
      </c>
      <c r="G31" s="32" t="s">
        <v>150</v>
      </c>
      <c r="H31" s="45">
        <v>58.279943467255798</v>
      </c>
      <c r="I31" s="45">
        <v>77.451296419162205</v>
      </c>
      <c r="J31" s="45">
        <v>74.9026694983108</v>
      </c>
      <c r="K31" s="45">
        <v>75.346285906988101</v>
      </c>
      <c r="L31" s="45">
        <v>79.721941995885999</v>
      </c>
      <c r="M31" s="45">
        <v>80.086398740015497</v>
      </c>
      <c r="N31" s="45">
        <v>80.163093853485293</v>
      </c>
      <c r="O31" s="16">
        <f t="shared" si="4"/>
        <v>5.4571162810058915</v>
      </c>
    </row>
    <row r="32" spans="1:16" ht="20.100000000000001" customHeight="1">
      <c r="B32" s="29" t="s">
        <v>358</v>
      </c>
      <c r="F32" s="38" t="s">
        <v>46</v>
      </c>
      <c r="G32" s="37" t="s">
        <v>16</v>
      </c>
      <c r="H32" s="47">
        <v>1595.2828469999999</v>
      </c>
      <c r="I32" s="47">
        <v>1857.58004346657</v>
      </c>
      <c r="J32" s="47">
        <v>1443.25576972147</v>
      </c>
      <c r="K32" s="47">
        <v>1290.7078094528099</v>
      </c>
      <c r="L32" s="47">
        <v>1320.73836737232</v>
      </c>
      <c r="M32" s="47">
        <v>1319.30555813977</v>
      </c>
      <c r="N32" s="47">
        <v>1325.28290153069</v>
      </c>
      <c r="O32" s="16">
        <f t="shared" si="4"/>
        <v>-3.0431531657808431</v>
      </c>
    </row>
    <row r="33" spans="2:16" ht="20.100000000000001" customHeight="1">
      <c r="B33" s="29" t="s">
        <v>358</v>
      </c>
      <c r="F33" s="30" t="s">
        <v>129</v>
      </c>
      <c r="G33" s="37" t="s">
        <v>16</v>
      </c>
      <c r="H33" s="47">
        <v>1659.3921190368701</v>
      </c>
      <c r="I33" s="47">
        <v>1857.58004346657</v>
      </c>
      <c r="J33" s="47">
        <v>1398.84962247403</v>
      </c>
      <c r="K33" s="47">
        <v>1217.37845038361</v>
      </c>
      <c r="L33" s="47">
        <v>1215.3198765472901</v>
      </c>
      <c r="M33" s="47">
        <v>1184.3916400590899</v>
      </c>
      <c r="N33" s="47">
        <v>1160.7392511893299</v>
      </c>
      <c r="O33" s="16">
        <f t="shared" si="4"/>
        <v>-5.7826377777389411</v>
      </c>
    </row>
    <row r="34" spans="2:16" ht="27.95" customHeight="1">
      <c r="B34" t="s">
        <v>358</v>
      </c>
      <c r="F34" s="30" t="s">
        <v>62</v>
      </c>
      <c r="O34" s="16"/>
    </row>
    <row r="35" spans="2:16" ht="20.100000000000001" customHeight="1">
      <c r="B35" s="29" t="s">
        <v>358</v>
      </c>
      <c r="F35" s="30" t="s">
        <v>147</v>
      </c>
      <c r="G35" s="32" t="s">
        <v>150</v>
      </c>
      <c r="H35" s="45">
        <v>252.293712</v>
      </c>
      <c r="I35" s="45">
        <v>252.91776020763101</v>
      </c>
      <c r="J35" s="45">
        <v>248.48545766369099</v>
      </c>
      <c r="K35" s="45">
        <v>246.81356219270901</v>
      </c>
      <c r="L35" s="45">
        <v>245.24828391217599</v>
      </c>
      <c r="M35" s="45">
        <v>243.694710442607</v>
      </c>
      <c r="N35" s="45">
        <v>242.15274841389299</v>
      </c>
      <c r="O35" s="16">
        <f t="shared" si="4"/>
        <v>-0.68142128724973938</v>
      </c>
    </row>
    <row r="36" spans="2:16" ht="27.95" customHeight="1">
      <c r="B36" s="29" t="s">
        <v>358</v>
      </c>
      <c r="F36" s="30" t="s">
        <v>148</v>
      </c>
      <c r="G36" s="32" t="s">
        <v>150</v>
      </c>
      <c r="H36" s="45">
        <v>5.5201124966817998</v>
      </c>
      <c r="I36" s="45">
        <v>5.2180085042893998</v>
      </c>
      <c r="J36" s="45">
        <v>3.85845091430624</v>
      </c>
      <c r="K36" s="45">
        <v>3.6408024330154301</v>
      </c>
      <c r="L36" s="45">
        <v>3.48137006475462</v>
      </c>
      <c r="M36" s="45">
        <v>3.32891931126608</v>
      </c>
      <c r="N36" s="45">
        <v>3.18314444451378</v>
      </c>
      <c r="O36" s="16">
        <f t="shared" si="4"/>
        <v>-8.7671161569189415</v>
      </c>
    </row>
    <row r="37" spans="2:16" ht="27.95" customHeight="1">
      <c r="B37" s="29" t="s">
        <v>358</v>
      </c>
      <c r="F37" s="42" t="s">
        <v>146</v>
      </c>
      <c r="G37" s="32" t="s">
        <v>150</v>
      </c>
      <c r="H37" s="45">
        <v>855.87972932918001</v>
      </c>
      <c r="I37" s="45">
        <v>894.79888474223696</v>
      </c>
      <c r="J37" s="45">
        <v>904.48181805993795</v>
      </c>
      <c r="K37" s="45">
        <v>905.12189728629403</v>
      </c>
      <c r="L37" s="45">
        <v>904.57046722036102</v>
      </c>
      <c r="M37" s="45">
        <v>902.12140751887205</v>
      </c>
      <c r="N37" s="45">
        <v>897.10279439221495</v>
      </c>
      <c r="O37" s="16">
        <f t="shared" si="4"/>
        <v>0.78709124350202497</v>
      </c>
    </row>
    <row r="38" spans="2:16" ht="27.95" customHeight="1">
      <c r="B38" s="29" t="s">
        <v>358</v>
      </c>
      <c r="F38" s="42" t="s">
        <v>238</v>
      </c>
      <c r="G38" s="32" t="s">
        <v>150</v>
      </c>
      <c r="H38" s="47">
        <v>1020.5078495</v>
      </c>
      <c r="I38" s="47">
        <v>1058.03490041748</v>
      </c>
      <c r="J38" s="47">
        <v>1059.2827111527899</v>
      </c>
      <c r="K38" s="47">
        <v>1058.5201412578599</v>
      </c>
      <c r="L38" s="47">
        <v>1056.6677308375199</v>
      </c>
      <c r="M38" s="47">
        <v>1053.0023852884201</v>
      </c>
      <c r="N38" s="47">
        <v>1046.8819195695901</v>
      </c>
      <c r="O38" s="16">
        <f t="shared" si="4"/>
        <v>0.42616803570929562</v>
      </c>
    </row>
    <row r="39" spans="2:16" ht="9.9499999999999993" customHeight="1">
      <c r="B39" t="s">
        <v>358</v>
      </c>
      <c r="G39" s="37" t="s">
        <v>0</v>
      </c>
      <c r="O39" s="16"/>
    </row>
    <row r="40" spans="2:16" ht="9.9499999999999993" customHeight="1">
      <c r="B40" t="s">
        <v>358</v>
      </c>
      <c r="G40" s="37" t="s">
        <v>0</v>
      </c>
      <c r="O40" s="16"/>
      <c r="P40" s="29" t="s">
        <v>358</v>
      </c>
    </row>
    <row r="41" spans="2:16" ht="18" customHeight="1">
      <c r="B41" t="s">
        <v>358</v>
      </c>
      <c r="F41" s="16" t="s">
        <v>119</v>
      </c>
      <c r="J41" s="76"/>
      <c r="O41" s="16"/>
    </row>
    <row r="42" spans="2:16" ht="18" customHeight="1">
      <c r="B42" t="s">
        <v>358</v>
      </c>
      <c r="E42" s="39" t="s">
        <v>269</v>
      </c>
      <c r="F42" s="42" t="s">
        <v>292</v>
      </c>
      <c r="J42" s="76"/>
      <c r="O42" s="16"/>
    </row>
    <row r="43" spans="2:16" ht="18" customHeight="1">
      <c r="B43" t="s">
        <v>358</v>
      </c>
      <c r="E43" s="39" t="s">
        <v>254</v>
      </c>
      <c r="F43" s="24" t="s">
        <v>336</v>
      </c>
      <c r="J43" s="29"/>
      <c r="O43" s="16"/>
    </row>
    <row r="44" spans="2:16" ht="18" customHeight="1">
      <c r="B44" t="s">
        <v>358</v>
      </c>
      <c r="E44" s="39" t="s">
        <v>255</v>
      </c>
      <c r="F44" s="42" t="s">
        <v>293</v>
      </c>
      <c r="O44" s="16"/>
    </row>
    <row r="45" spans="2:16" ht="18" customHeight="1">
      <c r="B45" t="s">
        <v>358</v>
      </c>
      <c r="E45" s="39" t="s">
        <v>256</v>
      </c>
      <c r="F45" s="42" t="s">
        <v>294</v>
      </c>
      <c r="J45" s="29"/>
      <c r="O45" s="16"/>
      <c r="P45" s="29" t="s">
        <v>358</v>
      </c>
    </row>
    <row r="46" spans="2:16" ht="18" customHeight="1">
      <c r="B46" t="s">
        <v>358</v>
      </c>
      <c r="E46" s="39" t="s">
        <v>257</v>
      </c>
      <c r="F46" s="42" t="s">
        <v>295</v>
      </c>
      <c r="I46" s="42"/>
      <c r="J46" s="29"/>
    </row>
    <row r="47" spans="2:16" ht="18" customHeight="1">
      <c r="B47" t="s">
        <v>358</v>
      </c>
      <c r="E47" s="39" t="s">
        <v>260</v>
      </c>
      <c r="F47" s="29" t="s">
        <v>296</v>
      </c>
      <c r="I47" s="42"/>
      <c r="J47" s="29"/>
    </row>
    <row r="48" spans="2:16" ht="18" customHeight="1">
      <c r="B48" t="s">
        <v>358</v>
      </c>
      <c r="E48" s="39" t="s">
        <v>258</v>
      </c>
      <c r="F48" s="42" t="s">
        <v>297</v>
      </c>
      <c r="I48" s="42"/>
      <c r="J48" s="29"/>
    </row>
    <row r="49" spans="2:10" ht="18" customHeight="1">
      <c r="B49" t="s">
        <v>358</v>
      </c>
      <c r="E49" s="39" t="s">
        <v>259</v>
      </c>
      <c r="F49" s="42" t="s">
        <v>278</v>
      </c>
      <c r="I49" s="42"/>
      <c r="J49" s="29"/>
    </row>
    <row r="50" spans="2:10" ht="18" customHeight="1">
      <c r="B50" t="s">
        <v>358</v>
      </c>
      <c r="E50" s="39" t="s">
        <v>261</v>
      </c>
      <c r="F50" s="29" t="str">
        <f>CONCATENATE("Compound annual growth rate (per cent), for the period from ", $A$3 - 1, " to ", $A$3+ 5, " or for the equivalent financial years.")</f>
        <v>Compound annual growth rate (per cent), for the period from 2023 to 2029 or for the equivalent financial years.</v>
      </c>
      <c r="I50" s="42"/>
      <c r="J50" s="29"/>
    </row>
    <row r="51" spans="2:10" ht="18" customHeight="1">
      <c r="B51" t="s">
        <v>358</v>
      </c>
      <c r="E51" s="39" t="s">
        <v>262</v>
      </c>
      <c r="F51" s="42" t="s">
        <v>298</v>
      </c>
      <c r="I51" s="42"/>
    </row>
    <row r="52" spans="2:10" ht="18" customHeight="1">
      <c r="F52" s="42" t="s">
        <v>326</v>
      </c>
      <c r="I52" s="42"/>
    </row>
    <row r="53" spans="2:10" ht="18" customHeight="1">
      <c r="I53" s="42"/>
    </row>
    <row r="54" spans="2:10" ht="18" customHeight="1">
      <c r="F54" s="77"/>
      <c r="I54" s="42"/>
    </row>
    <row r="55" spans="2:10" ht="18" customHeight="1">
      <c r="J55" s="42"/>
    </row>
    <row r="56" spans="2:10" ht="18" customHeight="1">
      <c r="J56" s="42"/>
    </row>
  </sheetData>
  <pageMargins left="0" right="0" top="0" bottom="0" header="0" footer="0"/>
  <pageSetup paperSize="9" scale="73" fitToHeight="0"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52"/>
  <sheetViews>
    <sheetView zoomScale="90" zoomScaleNormal="90" workbookViewId="0">
      <selection activeCell="L43" sqref="L43"/>
    </sheetView>
  </sheetViews>
  <sheetFormatPr defaultColWidth="10.625" defaultRowHeight="14.25"/>
  <cols>
    <col min="1" max="1" width="14.625" customWidth="1"/>
    <col min="4" max="4" width="11.625" customWidth="1"/>
    <col min="5" max="5" width="2.125" customWidth="1"/>
    <col min="6" max="6" width="27.625" customWidth="1"/>
    <col min="7" max="7" width="10.875" customWidth="1"/>
    <col min="8" max="14" width="12.625" customWidth="1"/>
  </cols>
  <sheetData>
    <row r="1" spans="1:19" ht="57" customHeight="1">
      <c r="A1" s="13" t="s">
        <v>118</v>
      </c>
      <c r="H1" s="134" t="str">
        <f>HYPERLINK("#'Contents'!A1", "Back to Table of Contents")</f>
        <v>Back to Table of Contents</v>
      </c>
    </row>
    <row r="2" spans="1:19" ht="18" customHeight="1">
      <c r="A2" s="130" t="s">
        <v>357</v>
      </c>
      <c r="B2" s="132"/>
      <c r="C2" s="132"/>
      <c r="D2" s="132"/>
      <c r="E2" s="132"/>
      <c r="F2" s="132"/>
      <c r="G2" s="132"/>
      <c r="H2" s="132"/>
      <c r="I2" s="132"/>
      <c r="J2" s="132"/>
      <c r="K2" s="132"/>
      <c r="L2" s="132"/>
      <c r="M2" s="132"/>
      <c r="N2" s="132"/>
      <c r="O2" s="132"/>
      <c r="P2" s="132"/>
      <c r="Q2" s="132"/>
      <c r="R2" s="132"/>
      <c r="S2" s="132"/>
    </row>
    <row r="3" spans="1:19" ht="18" customHeight="1">
      <c r="A3" s="129">
        <f>YEAR(A2)</f>
        <v>2024</v>
      </c>
      <c r="B3" s="129" t="s">
        <v>358</v>
      </c>
      <c r="C3" s="132"/>
      <c r="D3" s="132"/>
      <c r="E3" s="132"/>
      <c r="F3" s="131"/>
      <c r="G3" s="132"/>
      <c r="H3" s="133">
        <f>A3-1</f>
        <v>2023</v>
      </c>
      <c r="I3" s="133">
        <f>H3+1</f>
        <v>2024</v>
      </c>
      <c r="J3" s="133">
        <f>I3+1</f>
        <v>2025</v>
      </c>
      <c r="K3" s="133">
        <f>J3+1</f>
        <v>2026</v>
      </c>
      <c r="L3" s="133">
        <f t="shared" ref="L3:N3" si="0">K3+1</f>
        <v>2027</v>
      </c>
      <c r="M3" s="133">
        <f t="shared" si="0"/>
        <v>2028</v>
      </c>
      <c r="N3" s="133">
        <f t="shared" si="0"/>
        <v>2029</v>
      </c>
      <c r="O3" s="132"/>
      <c r="P3" s="132"/>
      <c r="Q3" s="132"/>
      <c r="R3" s="132"/>
      <c r="S3" s="132"/>
    </row>
    <row r="4" spans="1:19" ht="18" customHeight="1">
      <c r="A4" s="129">
        <f>MONTH(A2)</f>
        <v>3</v>
      </c>
      <c r="B4" s="129" t="s">
        <v>358</v>
      </c>
      <c r="C4" s="132"/>
      <c r="D4" s="132"/>
      <c r="E4" s="132"/>
      <c r="F4" s="131"/>
      <c r="G4" s="132"/>
      <c r="H4" s="132"/>
      <c r="I4" s="132"/>
      <c r="J4" s="132"/>
      <c r="K4" s="132"/>
      <c r="L4" s="132"/>
      <c r="M4" s="132"/>
      <c r="N4" s="132"/>
      <c r="O4" s="133"/>
      <c r="P4" s="132"/>
      <c r="Q4" s="132"/>
      <c r="R4" s="132"/>
      <c r="S4" s="132"/>
    </row>
    <row r="5" spans="1:19" ht="18" customHeight="1">
      <c r="B5" t="s">
        <v>358</v>
      </c>
      <c r="F5" s="30"/>
    </row>
    <row r="6" spans="1:19" ht="18" customHeight="1">
      <c r="B6" t="s">
        <v>358</v>
      </c>
      <c r="D6" s="29" t="s">
        <v>358</v>
      </c>
      <c r="F6" s="99" t="s">
        <v>72</v>
      </c>
      <c r="H6" s="31"/>
      <c r="I6" s="31"/>
      <c r="J6" s="31"/>
      <c r="K6" s="31"/>
      <c r="L6" s="31"/>
      <c r="M6" s="31"/>
      <c r="N6" s="31"/>
    </row>
    <row r="7" spans="1:19" ht="18" customHeight="1">
      <c r="B7" t="s">
        <v>358</v>
      </c>
      <c r="F7" s="98"/>
      <c r="G7" s="41"/>
      <c r="H7" s="41"/>
      <c r="I7" s="41"/>
      <c r="J7" s="41"/>
      <c r="K7" s="41"/>
      <c r="L7" s="165"/>
      <c r="M7" s="166"/>
      <c r="N7" s="166"/>
      <c r="O7" s="94"/>
    </row>
    <row r="8" spans="1:19" ht="18" customHeight="1">
      <c r="B8" t="s">
        <v>358</v>
      </c>
      <c r="D8" s="29" t="s">
        <v>358</v>
      </c>
      <c r="F8" s="98"/>
      <c r="G8" s="52" t="s">
        <v>185</v>
      </c>
      <c r="H8" s="135" t="str">
        <f>CONCATENATE(H3,)</f>
        <v>2023</v>
      </c>
      <c r="I8" s="52" t="str">
        <f>CONCATENATE(I3," f")</f>
        <v>2024 f</v>
      </c>
      <c r="J8" s="52" t="str">
        <f t="shared" ref="J8" si="1">CONCATENATE(J3," f")</f>
        <v>2025 f</v>
      </c>
      <c r="K8" s="52" t="str">
        <f>CONCATENATE(K3," f")</f>
        <v>2026 f</v>
      </c>
      <c r="L8" s="52" t="str">
        <f t="shared" ref="L8:N8" si="2">CONCATENATE(L3," z")</f>
        <v>2027 z</v>
      </c>
      <c r="M8" s="52" t="str">
        <f t="shared" si="2"/>
        <v>2028 z</v>
      </c>
      <c r="N8" s="52" t="str">
        <f t="shared" si="2"/>
        <v>2029 z</v>
      </c>
      <c r="O8" s="52" t="s">
        <v>184</v>
      </c>
    </row>
    <row r="9" spans="1:19" ht="18" customHeight="1">
      <c r="B9" t="s">
        <v>358</v>
      </c>
      <c r="F9" s="43" t="s">
        <v>30</v>
      </c>
      <c r="G9" s="52"/>
      <c r="H9" s="52"/>
      <c r="I9" s="52"/>
      <c r="J9" s="52"/>
      <c r="K9" s="52"/>
      <c r="L9" s="100"/>
      <c r="M9" s="95"/>
      <c r="N9" s="95"/>
    </row>
    <row r="10" spans="1:19" ht="18" customHeight="1">
      <c r="B10" t="s">
        <v>358</v>
      </c>
      <c r="F10" s="30" t="s">
        <v>186</v>
      </c>
      <c r="G10" s="32"/>
      <c r="H10" s="52"/>
      <c r="I10" s="52"/>
      <c r="J10" s="52"/>
      <c r="K10" s="52"/>
      <c r="L10" s="100"/>
      <c r="M10" s="95"/>
      <c r="N10" s="95"/>
    </row>
    <row r="11" spans="1:19" ht="18" customHeight="1">
      <c r="B11" s="29" t="s">
        <v>358</v>
      </c>
      <c r="F11" s="30" t="s">
        <v>8</v>
      </c>
      <c r="G11" s="32" t="s">
        <v>58</v>
      </c>
      <c r="H11" s="59">
        <v>86.671066869249799</v>
      </c>
      <c r="I11" s="59">
        <v>86.322889313464501</v>
      </c>
      <c r="J11" s="59">
        <v>79.270564012616802</v>
      </c>
      <c r="K11" s="59">
        <v>72.984595680870896</v>
      </c>
      <c r="L11" s="68">
        <v>71.766771387925004</v>
      </c>
      <c r="M11" s="68">
        <v>71.298298098304599</v>
      </c>
      <c r="N11" s="68">
        <v>71.115140816363393</v>
      </c>
      <c r="O11" s="16">
        <f>((N11/H11)^(1/6)-1)*100</f>
        <v>-3.2432389223989166</v>
      </c>
    </row>
    <row r="12" spans="1:19" ht="18" customHeight="1">
      <c r="B12" s="29" t="s">
        <v>358</v>
      </c>
      <c r="F12" s="30" t="s">
        <v>187</v>
      </c>
      <c r="G12" s="32" t="s">
        <v>58</v>
      </c>
      <c r="H12" s="59">
        <v>88.577830340373296</v>
      </c>
      <c r="I12" s="59">
        <v>86.3228893134646</v>
      </c>
      <c r="J12" s="59">
        <v>77.792506391184304</v>
      </c>
      <c r="K12" s="59">
        <v>70.112813405815999</v>
      </c>
      <c r="L12" s="68">
        <v>67.553997612013802</v>
      </c>
      <c r="M12" s="68">
        <v>65.712043359766497</v>
      </c>
      <c r="N12" s="68">
        <v>64.175025002791202</v>
      </c>
      <c r="O12" s="16">
        <f t="shared" ref="O12:O37" si="3">((N12/H12)^(1/6)-1)*100</f>
        <v>-5.2294281088993033</v>
      </c>
    </row>
    <row r="13" spans="1:19" ht="18" customHeight="1">
      <c r="B13" t="s">
        <v>358</v>
      </c>
      <c r="F13" s="30" t="s">
        <v>239</v>
      </c>
      <c r="G13" s="32"/>
      <c r="H13" s="59"/>
      <c r="I13" s="59"/>
      <c r="J13" s="59"/>
      <c r="K13" s="59"/>
      <c r="L13" s="68"/>
      <c r="M13" s="68"/>
      <c r="N13" s="68"/>
      <c r="O13" s="16"/>
    </row>
    <row r="14" spans="1:19" ht="18" customHeight="1">
      <c r="B14" s="29" t="s">
        <v>358</v>
      </c>
      <c r="F14" s="30" t="s">
        <v>8</v>
      </c>
      <c r="G14" s="32" t="s">
        <v>195</v>
      </c>
      <c r="H14" s="59">
        <v>13.8674175206627</v>
      </c>
      <c r="I14" s="59">
        <v>16.164361736070902</v>
      </c>
      <c r="J14" s="59">
        <v>13.053871894105001</v>
      </c>
      <c r="K14" s="59">
        <v>12.700395601438601</v>
      </c>
      <c r="L14" s="68">
        <v>12.325395601438601</v>
      </c>
      <c r="M14" s="68">
        <v>12.1536930226337</v>
      </c>
      <c r="N14" s="68">
        <v>12.013585286219</v>
      </c>
      <c r="O14" s="16">
        <f t="shared" si="3"/>
        <v>-2.3633565753185093</v>
      </c>
    </row>
    <row r="15" spans="1:19" ht="18" customHeight="1">
      <c r="B15" s="29" t="s">
        <v>358</v>
      </c>
      <c r="F15" s="30" t="s">
        <v>187</v>
      </c>
      <c r="G15" s="32" t="s">
        <v>195</v>
      </c>
      <c r="H15" s="59">
        <v>14.1725007061172</v>
      </c>
      <c r="I15" s="59">
        <v>16.164361736070902</v>
      </c>
      <c r="J15" s="59">
        <v>12.810472908837101</v>
      </c>
      <c r="K15" s="59">
        <v>12.2006631492116</v>
      </c>
      <c r="L15" s="68">
        <v>11.601883837382699</v>
      </c>
      <c r="M15" s="68">
        <v>11.201445534975401</v>
      </c>
      <c r="N15" s="68">
        <v>10.841181318998</v>
      </c>
      <c r="O15" s="16">
        <f t="shared" si="3"/>
        <v>-4.367607681044861</v>
      </c>
    </row>
    <row r="16" spans="1:19" ht="18" customHeight="1">
      <c r="B16" s="29" t="s">
        <v>358</v>
      </c>
      <c r="F16" s="30" t="s">
        <v>240</v>
      </c>
      <c r="G16" s="37" t="s">
        <v>246</v>
      </c>
      <c r="H16" s="59">
        <v>403.243386786229</v>
      </c>
      <c r="I16" s="59">
        <v>425.50720349529098</v>
      </c>
      <c r="J16" s="59">
        <v>455.57632140499499</v>
      </c>
      <c r="K16" s="59">
        <v>497.989849448526</v>
      </c>
      <c r="L16" s="68">
        <v>535.91599716201495</v>
      </c>
      <c r="M16" s="68">
        <v>548.90779830621295</v>
      </c>
      <c r="N16" s="68">
        <v>566.887153049169</v>
      </c>
      <c r="O16" s="16">
        <f t="shared" si="3"/>
        <v>5.8412337367734324</v>
      </c>
    </row>
    <row r="17" spans="1:20" ht="18" customHeight="1">
      <c r="B17" s="29" t="s">
        <v>358</v>
      </c>
      <c r="F17" s="30" t="s">
        <v>241</v>
      </c>
      <c r="G17" s="37" t="s">
        <v>337</v>
      </c>
      <c r="H17" s="47">
        <v>4037.9635560691399</v>
      </c>
      <c r="I17" s="47">
        <v>4131.7941078595104</v>
      </c>
      <c r="J17" s="47">
        <v>4214.1242120166999</v>
      </c>
      <c r="K17" s="47">
        <v>4327.3903736202801</v>
      </c>
      <c r="L17" s="47">
        <v>4375.4513587190704</v>
      </c>
      <c r="M17" s="47">
        <v>4431.2491451803498</v>
      </c>
      <c r="N17" s="47">
        <v>4480.12686381809</v>
      </c>
      <c r="O17" s="16">
        <f>((N17/H17)^(1/6)-1)*100</f>
        <v>1.746931253181927</v>
      </c>
    </row>
    <row r="18" spans="1:20" ht="18" customHeight="1">
      <c r="B18" s="29" t="s">
        <v>358</v>
      </c>
      <c r="F18" s="30" t="s">
        <v>242</v>
      </c>
      <c r="G18" s="37" t="s">
        <v>337</v>
      </c>
      <c r="H18" s="47">
        <v>4035.65407515477</v>
      </c>
      <c r="I18" s="47">
        <v>4131.6925182676896</v>
      </c>
      <c r="J18" s="47">
        <v>4222.5250520354102</v>
      </c>
      <c r="K18" s="47">
        <v>4300.9066198638702</v>
      </c>
      <c r="L18" s="47">
        <v>4356.8932144153296</v>
      </c>
      <c r="M18" s="47">
        <v>4405.4823834628696</v>
      </c>
      <c r="N18" s="47">
        <v>4445.8374345728698</v>
      </c>
      <c r="O18" s="16">
        <f t="shared" si="3"/>
        <v>1.6264154797049901</v>
      </c>
      <c r="P18" s="74"/>
      <c r="Q18" s="74"/>
      <c r="R18" s="74"/>
      <c r="S18" s="74"/>
      <c r="T18" s="73"/>
    </row>
    <row r="19" spans="1:20" ht="29.25" customHeight="1">
      <c r="B19" t="s">
        <v>358</v>
      </c>
      <c r="H19" s="59"/>
      <c r="I19" s="59"/>
      <c r="J19" s="59"/>
      <c r="K19" s="59"/>
      <c r="L19" s="59"/>
      <c r="M19" s="59"/>
      <c r="N19" s="59"/>
    </row>
    <row r="20" spans="1:20" ht="29.25" customHeight="1">
      <c r="B20" t="s">
        <v>358</v>
      </c>
      <c r="F20" s="30"/>
      <c r="G20" s="52"/>
      <c r="H20" s="52"/>
      <c r="I20" s="52"/>
      <c r="J20" s="52"/>
      <c r="K20" s="52"/>
      <c r="L20" s="100"/>
      <c r="M20" s="95"/>
      <c r="N20" s="95"/>
    </row>
    <row r="21" spans="1:20" ht="29.25" customHeight="1">
      <c r="A21" s="132"/>
      <c r="B21" s="129" t="s">
        <v>358</v>
      </c>
      <c r="C21" s="132"/>
      <c r="D21" s="132"/>
      <c r="E21" s="132"/>
      <c r="F21" s="145"/>
      <c r="G21" s="136"/>
      <c r="H21" s="144" t="str">
        <f>CONCATENATE(H$3-1,"-",RIGHT(H$3,2))</f>
        <v>2022-23</v>
      </c>
      <c r="I21" s="144" t="str">
        <f t="shared" ref="I21:N21" si="4">CONCATENATE(I$3-1,"-",RIGHT(I$3,2))</f>
        <v>2023-24</v>
      </c>
      <c r="J21" s="144" t="str">
        <f t="shared" si="4"/>
        <v>2024-25</v>
      </c>
      <c r="K21" s="144" t="str">
        <f t="shared" si="4"/>
        <v>2025-26</v>
      </c>
      <c r="L21" s="146" t="str">
        <f>CONCATENATE(L$3-1,"-",RIGHT(L$3,2))</f>
        <v>2026-27</v>
      </c>
      <c r="M21" s="146" t="str">
        <f t="shared" si="4"/>
        <v>2027-28</v>
      </c>
      <c r="N21" s="146" t="str">
        <f t="shared" si="4"/>
        <v>2028-29</v>
      </c>
      <c r="O21" s="132"/>
      <c r="P21" s="132"/>
      <c r="Q21" s="132"/>
      <c r="R21" s="132"/>
      <c r="S21" s="132"/>
    </row>
    <row r="22" spans="1:20" ht="29.25" customHeight="1">
      <c r="B22" s="29" t="s">
        <v>358</v>
      </c>
      <c r="F22" s="98"/>
      <c r="G22" s="52"/>
      <c r="H22" s="52"/>
      <c r="I22" s="52"/>
      <c r="J22" s="52"/>
      <c r="K22" s="52"/>
      <c r="L22" s="100"/>
      <c r="M22" s="95"/>
      <c r="N22" s="95"/>
      <c r="O22" s="97"/>
    </row>
    <row r="23" spans="1:20" ht="29.25" customHeight="1">
      <c r="B23" t="s">
        <v>358</v>
      </c>
      <c r="F23" s="98"/>
      <c r="G23" s="41"/>
      <c r="H23" s="41"/>
      <c r="I23" s="41"/>
      <c r="J23" s="41"/>
      <c r="K23" s="41"/>
      <c r="L23" s="165"/>
      <c r="M23" s="166"/>
      <c r="N23" s="166"/>
      <c r="O23" s="16"/>
    </row>
    <row r="24" spans="1:20" ht="20.100000000000001" customHeight="1">
      <c r="B24" t="s">
        <v>358</v>
      </c>
      <c r="F24" s="51"/>
      <c r="G24" s="41" t="s">
        <v>185</v>
      </c>
      <c r="H24" s="41" t="str">
        <f>CONCATENATE(H$3-1,"–",RIGHT(H$3,2))</f>
        <v>2022–23</v>
      </c>
      <c r="I24" s="41" t="str">
        <f>CONCATENATE(CONCATENATE(I$3-1,"–",RIGHT(I$3,2))," f")</f>
        <v>2023–24 f</v>
      </c>
      <c r="J24" s="41" t="str">
        <f>CONCATENATE(CONCATENATE(J$3-1,"–",RIGHT(J$3,2))," f")</f>
        <v>2024–25 f</v>
      </c>
      <c r="K24" s="41" t="str">
        <f>CONCATENATE(CONCATENATE(K$3-1,"–",RIGHT(K$3,2))," f")</f>
        <v>2025–26 f</v>
      </c>
      <c r="L24" s="41" t="str">
        <f t="shared" ref="L24:N24" si="5">CONCATENATE(CONCATENATE(L$3-1,"–",RIGHT(L$3,2))," z")</f>
        <v>2026–27 z</v>
      </c>
      <c r="M24" s="41" t="str">
        <f t="shared" si="5"/>
        <v>2027–28 z</v>
      </c>
      <c r="N24" s="41" t="str">
        <f t="shared" si="5"/>
        <v>2028–29 z</v>
      </c>
      <c r="O24" s="41" t="s">
        <v>184</v>
      </c>
    </row>
    <row r="25" spans="1:20" ht="27.95" customHeight="1">
      <c r="B25" t="s">
        <v>358</v>
      </c>
      <c r="F25" s="79" t="s">
        <v>22</v>
      </c>
      <c r="G25" s="32"/>
      <c r="H25" s="35"/>
      <c r="I25" s="35"/>
      <c r="J25" s="35"/>
      <c r="K25" s="35"/>
      <c r="L25" s="35"/>
      <c r="M25" s="35"/>
      <c r="N25" s="35"/>
      <c r="O25" s="16"/>
      <c r="Q25" s="29" t="s">
        <v>0</v>
      </c>
    </row>
    <row r="26" spans="1:20" ht="20.100000000000001" customHeight="1">
      <c r="B26" s="29" t="s">
        <v>358</v>
      </c>
      <c r="F26" s="30" t="s">
        <v>243</v>
      </c>
      <c r="G26" s="37" t="s">
        <v>337</v>
      </c>
      <c r="H26" s="31">
        <v>164.47385138226699</v>
      </c>
      <c r="I26" s="31">
        <v>163.780016243234</v>
      </c>
      <c r="J26" s="31">
        <v>157.30587215917299</v>
      </c>
      <c r="K26" s="31">
        <v>156.80055432047899</v>
      </c>
      <c r="L26" s="31">
        <v>161.56121391229601</v>
      </c>
      <c r="M26" s="31">
        <v>159.275834338419</v>
      </c>
      <c r="N26" s="31">
        <v>159.275834338419</v>
      </c>
      <c r="O26" s="16">
        <f t="shared" si="3"/>
        <v>-0.53380505467059969</v>
      </c>
      <c r="Q26" s="29" t="s">
        <v>0</v>
      </c>
    </row>
    <row r="27" spans="1:20" ht="20.100000000000001" customHeight="1">
      <c r="B27" s="29" t="s">
        <v>358</v>
      </c>
      <c r="F27" s="30" t="s">
        <v>112</v>
      </c>
      <c r="G27" s="37" t="s">
        <v>337</v>
      </c>
      <c r="H27" s="31">
        <v>57.782201539966998</v>
      </c>
      <c r="I27" s="31">
        <v>56.544706228142203</v>
      </c>
      <c r="J27" s="31">
        <v>53.534823304322302</v>
      </c>
      <c r="K27" s="31">
        <v>52.169532859626202</v>
      </c>
      <c r="L27" s="31">
        <v>51.975702962404199</v>
      </c>
      <c r="M27" s="31">
        <v>51.0888603481514</v>
      </c>
      <c r="N27" s="31">
        <v>51.267091800164998</v>
      </c>
      <c r="O27" s="16">
        <f t="shared" si="3"/>
        <v>-1.9741162778488586</v>
      </c>
      <c r="Q27" s="29" t="s">
        <v>0</v>
      </c>
    </row>
    <row r="28" spans="1:20" ht="20.100000000000001" customHeight="1">
      <c r="B28" s="29" t="s">
        <v>358</v>
      </c>
      <c r="F28" s="30" t="s">
        <v>113</v>
      </c>
      <c r="G28" s="37" t="s">
        <v>337</v>
      </c>
      <c r="H28" s="31">
        <v>91.011074794979606</v>
      </c>
      <c r="I28" s="31">
        <v>87.146027764331905</v>
      </c>
      <c r="J28" s="31">
        <v>85.536598267981901</v>
      </c>
      <c r="K28" s="31">
        <v>84.188844161931897</v>
      </c>
      <c r="L28" s="31">
        <v>87.432020748709107</v>
      </c>
      <c r="M28" s="31">
        <v>84.9480378082241</v>
      </c>
      <c r="N28" s="31">
        <v>82.018888410305394</v>
      </c>
      <c r="O28" s="16">
        <f t="shared" si="3"/>
        <v>-1.7189156861628141</v>
      </c>
      <c r="S28" s="29" t="s">
        <v>0</v>
      </c>
    </row>
    <row r="29" spans="1:20" ht="20.100000000000001" customHeight="1">
      <c r="B29" s="29" t="s">
        <v>358</v>
      </c>
      <c r="F29" s="30" t="s">
        <v>244</v>
      </c>
      <c r="G29" s="37" t="s">
        <v>337</v>
      </c>
      <c r="H29" s="31">
        <v>15.1030287460138</v>
      </c>
      <c r="I29" s="31">
        <v>16.618666365879701</v>
      </c>
      <c r="J29" s="31">
        <v>16.684720339715</v>
      </c>
      <c r="K29" s="31">
        <v>17.382786750898401</v>
      </c>
      <c r="L29" s="31">
        <v>19.834976162433499</v>
      </c>
      <c r="M29" s="31">
        <v>21.4759589481578</v>
      </c>
      <c r="N29" s="31">
        <v>22.165510728257399</v>
      </c>
      <c r="O29" s="16">
        <f t="shared" si="3"/>
        <v>6.6028827279187574</v>
      </c>
    </row>
    <row r="30" spans="1:20" ht="27.95" customHeight="1">
      <c r="B30" s="29" t="s">
        <v>358</v>
      </c>
      <c r="F30" s="30" t="s">
        <v>245</v>
      </c>
      <c r="G30" s="32" t="s">
        <v>35</v>
      </c>
      <c r="H30" s="31">
        <v>81.530881730000004</v>
      </c>
      <c r="I30" s="31">
        <v>79.380773105000003</v>
      </c>
      <c r="J30" s="31">
        <v>78.313000000000002</v>
      </c>
      <c r="K30" s="31">
        <v>77.817999999999998</v>
      </c>
      <c r="L30" s="31">
        <v>81.747</v>
      </c>
      <c r="M30" s="31">
        <v>79.413499999999999</v>
      </c>
      <c r="N30" s="31">
        <v>79.366</v>
      </c>
      <c r="O30" s="16">
        <f t="shared" si="3"/>
        <v>-0.44752561390873913</v>
      </c>
      <c r="P30" s="29" t="s">
        <v>0</v>
      </c>
      <c r="Q30" s="29" t="s">
        <v>0</v>
      </c>
    </row>
    <row r="31" spans="1:20" ht="20.100000000000001" customHeight="1">
      <c r="B31" s="29" t="s">
        <v>358</v>
      </c>
      <c r="F31" s="30" t="s">
        <v>46</v>
      </c>
      <c r="G31" s="32" t="s">
        <v>16</v>
      </c>
      <c r="H31" s="47">
        <v>92237.252301</v>
      </c>
      <c r="I31" s="47">
        <v>71539.717761485706</v>
      </c>
      <c r="J31" s="47">
        <v>65393.834539113501</v>
      </c>
      <c r="K31" s="47">
        <v>55357.740519520703</v>
      </c>
      <c r="L31" s="47">
        <v>56403.235992295202</v>
      </c>
      <c r="M31" s="47">
        <v>53769.666677840098</v>
      </c>
      <c r="N31" s="47">
        <v>51152.876150797601</v>
      </c>
      <c r="O31" s="16">
        <f t="shared" si="3"/>
        <v>-9.3584583632494329</v>
      </c>
      <c r="P31" s="29" t="s">
        <v>0</v>
      </c>
    </row>
    <row r="32" spans="1:20" ht="20.100000000000001" customHeight="1">
      <c r="B32" s="29" t="s">
        <v>358</v>
      </c>
      <c r="F32" s="30" t="s">
        <v>131</v>
      </c>
      <c r="G32" s="32" t="s">
        <v>16</v>
      </c>
      <c r="H32" s="47">
        <v>95943.969959763795</v>
      </c>
      <c r="I32" s="47">
        <v>71539.717761485706</v>
      </c>
      <c r="J32" s="47">
        <v>63381.794603753297</v>
      </c>
      <c r="K32" s="47">
        <v>52212.685068483697</v>
      </c>
      <c r="L32" s="47">
        <v>51901.251221621002</v>
      </c>
      <c r="M32" s="47">
        <v>48271.109985917799</v>
      </c>
      <c r="N32" s="47">
        <v>44801.869163843599</v>
      </c>
      <c r="O32" s="16">
        <f t="shared" si="3"/>
        <v>-11.919506052254992</v>
      </c>
      <c r="Q32" s="29" t="s">
        <v>0</v>
      </c>
    </row>
    <row r="33" spans="2:17" ht="20.100000000000001" customHeight="1">
      <c r="B33" t="s">
        <v>358</v>
      </c>
      <c r="F33" s="30" t="s">
        <v>137</v>
      </c>
      <c r="G33" s="32"/>
      <c r="H33" s="45"/>
      <c r="I33" s="45"/>
      <c r="J33" s="45"/>
      <c r="K33" s="45"/>
      <c r="L33" s="68"/>
      <c r="M33" s="68"/>
      <c r="N33" s="68"/>
      <c r="O33" s="16"/>
    </row>
    <row r="34" spans="2:17" ht="20.100000000000001" customHeight="1">
      <c r="B34" s="29" t="s">
        <v>358</v>
      </c>
      <c r="F34" s="30" t="s">
        <v>46</v>
      </c>
      <c r="G34" s="32" t="s">
        <v>141</v>
      </c>
      <c r="H34" s="92">
        <v>21.426453635090699</v>
      </c>
      <c r="I34" s="92">
        <v>17.068602937459801</v>
      </c>
      <c r="J34" s="92">
        <v>15.8149935967696</v>
      </c>
      <c r="K34" s="92">
        <v>13.4730018156976</v>
      </c>
      <c r="L34" s="68">
        <v>13.067673503794399</v>
      </c>
      <c r="M34" s="68">
        <v>12.8235740674006</v>
      </c>
      <c r="N34" s="68">
        <v>12.206794755348399</v>
      </c>
      <c r="O34" s="16">
        <f t="shared" si="3"/>
        <v>-8.9509907255361121</v>
      </c>
    </row>
    <row r="35" spans="2:17" ht="20.100000000000001" customHeight="1">
      <c r="B35" s="29" t="s">
        <v>358</v>
      </c>
      <c r="F35" s="30" t="s">
        <v>131</v>
      </c>
      <c r="G35" s="32" t="s">
        <v>141</v>
      </c>
      <c r="H35" s="92">
        <v>22.287513695668999</v>
      </c>
      <c r="I35" s="16">
        <v>17.068602937459801</v>
      </c>
      <c r="J35" s="16">
        <v>15.328397285076999</v>
      </c>
      <c r="K35" s="16">
        <v>12.707556235646299</v>
      </c>
      <c r="L35" s="68">
        <v>12.0246399602888</v>
      </c>
      <c r="M35" s="68">
        <v>11.5122185511923</v>
      </c>
      <c r="N35" s="68">
        <v>10.6912311230907</v>
      </c>
      <c r="O35" s="16">
        <f t="shared" si="3"/>
        <v>-11.523551281964995</v>
      </c>
    </row>
    <row r="36" spans="2:17" ht="20.100000000000001" customHeight="1">
      <c r="B36" s="29" t="s">
        <v>358</v>
      </c>
      <c r="F36" s="30" t="s">
        <v>46</v>
      </c>
      <c r="G36" s="32" t="s">
        <v>138</v>
      </c>
      <c r="H36" s="156">
        <v>15.2308859179024</v>
      </c>
      <c r="I36" s="156">
        <v>11.877408878238199</v>
      </c>
      <c r="J36" s="156">
        <v>11.606940100541101</v>
      </c>
      <c r="K36" s="156">
        <v>10.439420726875101</v>
      </c>
      <c r="L36" s="157">
        <v>10.349597415005199</v>
      </c>
      <c r="M36" s="157">
        <v>10.1562706613812</v>
      </c>
      <c r="N36" s="157">
        <v>9.6677814462360008</v>
      </c>
      <c r="O36" s="158">
        <f t="shared" si="3"/>
        <v>-7.2956151444080186</v>
      </c>
    </row>
    <row r="37" spans="2:17" ht="20.100000000000001" customHeight="1">
      <c r="B37" s="29" t="s">
        <v>358</v>
      </c>
      <c r="F37" s="30" t="s">
        <v>129</v>
      </c>
      <c r="G37" s="37" t="s">
        <v>138</v>
      </c>
      <c r="H37" s="158">
        <v>15.842966095727601</v>
      </c>
      <c r="I37" s="158">
        <v>11.877408878238199</v>
      </c>
      <c r="J37" s="158">
        <v>11.2498173354637</v>
      </c>
      <c r="K37" s="158">
        <v>9.8463228736281891</v>
      </c>
      <c r="L37" s="157">
        <v>9.52351484854875</v>
      </c>
      <c r="M37" s="157">
        <v>9.1176770925443194</v>
      </c>
      <c r="N37" s="157">
        <v>8.4674550494878495</v>
      </c>
      <c r="O37" s="158">
        <f t="shared" si="3"/>
        <v>-9.914947806980912</v>
      </c>
    </row>
    <row r="38" spans="2:17" ht="9.9499999999999993" customHeight="1">
      <c r="B38" t="s">
        <v>358</v>
      </c>
      <c r="F38" s="30"/>
      <c r="G38" s="101" t="s">
        <v>0</v>
      </c>
      <c r="H38" s="102"/>
      <c r="I38" s="102"/>
      <c r="J38" s="102"/>
      <c r="K38" s="102"/>
      <c r="L38" s="102"/>
      <c r="M38" s="102"/>
      <c r="N38" s="102"/>
      <c r="O38" s="63"/>
    </row>
    <row r="39" spans="2:17" ht="9.9499999999999993" customHeight="1">
      <c r="B39" t="s">
        <v>358</v>
      </c>
      <c r="F39" s="30"/>
      <c r="G39" s="32" t="s">
        <v>0</v>
      </c>
      <c r="H39" s="36"/>
      <c r="I39" s="36"/>
      <c r="J39" s="36"/>
      <c r="L39" s="36"/>
      <c r="M39" s="36"/>
      <c r="Q39" s="29" t="s">
        <v>358</v>
      </c>
    </row>
    <row r="40" spans="2:17" ht="18" customHeight="1">
      <c r="B40" t="s">
        <v>358</v>
      </c>
      <c r="F40" s="16" t="s">
        <v>119</v>
      </c>
      <c r="G40" s="32"/>
      <c r="H40" s="36"/>
      <c r="I40" s="36"/>
      <c r="J40" s="36"/>
      <c r="K40" s="36"/>
      <c r="L40" s="36"/>
      <c r="M40" s="36"/>
      <c r="N40" s="36"/>
    </row>
    <row r="41" spans="2:17" ht="18" customHeight="1">
      <c r="B41" t="s">
        <v>358</v>
      </c>
      <c r="E41" s="39" t="s">
        <v>269</v>
      </c>
      <c r="F41" s="29" t="s">
        <v>300</v>
      </c>
      <c r="G41" s="32"/>
      <c r="H41" s="31"/>
      <c r="I41" s="31"/>
      <c r="J41" s="31"/>
      <c r="K41" s="36"/>
      <c r="L41" s="31"/>
      <c r="M41" s="31"/>
      <c r="N41" s="31"/>
    </row>
    <row r="42" spans="2:17" ht="18" customHeight="1">
      <c r="B42" t="s">
        <v>358</v>
      </c>
      <c r="E42" s="39" t="s">
        <v>254</v>
      </c>
      <c r="F42" s="30" t="s">
        <v>301</v>
      </c>
      <c r="K42" s="36"/>
    </row>
    <row r="43" spans="2:17" ht="18" customHeight="1">
      <c r="B43" t="s">
        <v>358</v>
      </c>
      <c r="E43" s="39" t="s">
        <v>255</v>
      </c>
      <c r="F43" s="29" t="s">
        <v>302</v>
      </c>
      <c r="K43" s="36"/>
    </row>
    <row r="44" spans="2:17" ht="18" customHeight="1">
      <c r="B44" t="s">
        <v>358</v>
      </c>
      <c r="E44" s="39" t="s">
        <v>256</v>
      </c>
      <c r="F44" s="30" t="s">
        <v>303</v>
      </c>
      <c r="G44" s="32"/>
      <c r="H44" s="31"/>
      <c r="I44" s="31"/>
      <c r="J44" s="31"/>
      <c r="K44" s="36"/>
      <c r="L44" s="31"/>
      <c r="M44" s="31"/>
      <c r="N44" s="31"/>
    </row>
    <row r="45" spans="2:17" ht="18" customHeight="1">
      <c r="B45" t="s">
        <v>358</v>
      </c>
      <c r="E45" s="39" t="s">
        <v>257</v>
      </c>
      <c r="F45" s="42" t="s">
        <v>278</v>
      </c>
      <c r="G45" s="32"/>
      <c r="K45" s="36"/>
    </row>
    <row r="46" spans="2:17" ht="18" customHeight="1">
      <c r="B46" t="s">
        <v>358</v>
      </c>
      <c r="E46" s="39" t="s">
        <v>260</v>
      </c>
      <c r="F46" s="29" t="s">
        <v>296</v>
      </c>
      <c r="G46" s="32"/>
      <c r="H46" s="37"/>
      <c r="I46" s="37"/>
      <c r="J46" s="37"/>
      <c r="K46" s="36"/>
      <c r="L46" s="37"/>
      <c r="M46" s="37"/>
      <c r="N46" s="37"/>
    </row>
    <row r="47" spans="2:17" ht="18" customHeight="1">
      <c r="B47" s="96" t="s">
        <v>358</v>
      </c>
      <c r="E47" s="39" t="s">
        <v>258</v>
      </c>
      <c r="F47" s="29" t="s">
        <v>304</v>
      </c>
      <c r="H47" s="31"/>
      <c r="I47" s="31"/>
      <c r="J47" s="31"/>
      <c r="K47" s="36" t="s">
        <v>0</v>
      </c>
      <c r="L47" s="31"/>
      <c r="M47" s="31"/>
      <c r="N47" s="31"/>
    </row>
    <row r="48" spans="2:17" ht="18" customHeight="1">
      <c r="B48" t="s">
        <v>358</v>
      </c>
      <c r="E48" s="39" t="s">
        <v>259</v>
      </c>
      <c r="F48" s="24" t="s">
        <v>336</v>
      </c>
      <c r="G48" s="32"/>
      <c r="H48" s="35"/>
      <c r="I48" s="35"/>
      <c r="J48" s="35"/>
      <c r="K48" s="35"/>
      <c r="L48" s="35"/>
      <c r="M48" s="35"/>
      <c r="N48" s="35"/>
      <c r="P48" s="29" t="s">
        <v>358</v>
      </c>
    </row>
    <row r="49" spans="2:14" ht="18" customHeight="1">
      <c r="B49" t="s">
        <v>358</v>
      </c>
      <c r="E49" s="39" t="s">
        <v>299</v>
      </c>
      <c r="F49" s="30" t="s">
        <v>305</v>
      </c>
      <c r="G49" s="32"/>
      <c r="H49" s="35"/>
      <c r="I49" s="35"/>
      <c r="J49" s="35"/>
      <c r="K49" s="35"/>
      <c r="L49" s="35"/>
      <c r="M49" s="35"/>
      <c r="N49" s="35"/>
    </row>
    <row r="50" spans="2:14" ht="18" customHeight="1">
      <c r="B50" t="s">
        <v>358</v>
      </c>
      <c r="E50" s="39" t="s">
        <v>261</v>
      </c>
      <c r="F50" s="29" t="str">
        <f>CONCATENATE("Compound annual growth rate (per cent), for the period from ", $A$3 - 1, " to ", $A$3+ 5, " or for the equivalent financial years.")</f>
        <v>Compound annual growth rate (per cent), for the period from 2023 to 2029 or for the equivalent financial years.</v>
      </c>
      <c r="G50" s="32"/>
      <c r="H50" s="35"/>
      <c r="I50" s="35"/>
      <c r="J50" s="35"/>
      <c r="K50" s="35"/>
      <c r="L50" s="35"/>
      <c r="M50" s="35"/>
      <c r="N50" s="35"/>
    </row>
    <row r="51" spans="2:14" ht="18" customHeight="1">
      <c r="B51" t="s">
        <v>358</v>
      </c>
      <c r="E51" s="39" t="s">
        <v>262</v>
      </c>
      <c r="F51" s="42" t="s">
        <v>298</v>
      </c>
      <c r="G51" s="32"/>
      <c r="H51" s="35"/>
      <c r="I51" s="35"/>
      <c r="J51" s="35"/>
      <c r="K51" s="35"/>
      <c r="L51" s="35"/>
      <c r="M51" s="35"/>
      <c r="N51" s="35"/>
    </row>
    <row r="52" spans="2:14" ht="18" customHeight="1">
      <c r="F52" s="29" t="s">
        <v>327</v>
      </c>
      <c r="G52" s="32"/>
      <c r="H52" s="35"/>
      <c r="I52" s="35"/>
      <c r="J52" s="35"/>
      <c r="K52" s="35"/>
      <c r="L52" s="35"/>
      <c r="M52" s="35"/>
      <c r="N52" s="35"/>
    </row>
  </sheetData>
  <mergeCells count="2">
    <mergeCell ref="L7:N7"/>
    <mergeCell ref="L23:N23"/>
  </mergeCells>
  <pageMargins left="0" right="0" top="0" bottom="0" header="0" footer="0"/>
  <pageSetup paperSize="9" scale="73" fitToHeight="0"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6"/>
  <sheetViews>
    <sheetView zoomScale="90" zoomScaleNormal="90" workbookViewId="0">
      <selection activeCell="H28" sqref="H28"/>
    </sheetView>
  </sheetViews>
  <sheetFormatPr defaultColWidth="10.625" defaultRowHeight="14.25"/>
  <cols>
    <col min="1" max="1" width="14.625" customWidth="1"/>
    <col min="4" max="4" width="11.625" customWidth="1"/>
    <col min="5" max="5" width="1.875" customWidth="1"/>
    <col min="6" max="6" width="27.625" customWidth="1"/>
    <col min="7" max="7" width="9.6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1"/>
      <c r="G4" s="132"/>
      <c r="H4" s="132"/>
      <c r="I4" s="132"/>
      <c r="J4" s="132"/>
      <c r="K4" s="132"/>
      <c r="L4" s="132"/>
      <c r="M4" s="132"/>
      <c r="N4" s="132"/>
      <c r="O4" s="133"/>
      <c r="P4" s="132"/>
    </row>
    <row r="5" spans="1:16" ht="18" customHeight="1">
      <c r="B5" t="s">
        <v>358</v>
      </c>
      <c r="F5" s="30"/>
    </row>
    <row r="6" spans="1:16" ht="18" customHeight="1">
      <c r="B6" t="s">
        <v>358</v>
      </c>
      <c r="D6" s="29" t="s">
        <v>358</v>
      </c>
      <c r="F6" s="12" t="s">
        <v>70</v>
      </c>
      <c r="H6" s="37" t="s">
        <v>0</v>
      </c>
      <c r="O6" s="62"/>
    </row>
    <row r="7" spans="1:16" ht="20.100000000000001" customHeight="1">
      <c r="B7" t="s">
        <v>358</v>
      </c>
      <c r="D7" s="29" t="s">
        <v>358</v>
      </c>
      <c r="F7" s="51"/>
      <c r="G7" s="41" t="s">
        <v>1</v>
      </c>
      <c r="H7" s="135">
        <f>H3</f>
        <v>2023</v>
      </c>
      <c r="I7" s="41" t="str">
        <f>CONCATENATE(I3," f")</f>
        <v>2024 f</v>
      </c>
      <c r="J7" s="41" t="str">
        <f>CONCATENATE(J3," f")</f>
        <v>2025 f</v>
      </c>
      <c r="K7" s="41" t="str">
        <f>CONCATENATE(K3," f")</f>
        <v>2026 f</v>
      </c>
      <c r="L7" s="41" t="str">
        <f>CONCATENATE(L3," z")</f>
        <v>2027 z</v>
      </c>
      <c r="M7" s="41" t="str">
        <f>CONCATENATE(M3," z")</f>
        <v>2028 z</v>
      </c>
      <c r="N7" s="41" t="str">
        <f>CONCATENATE(N3," z")</f>
        <v>2029 z</v>
      </c>
      <c r="O7" s="52" t="s">
        <v>184</v>
      </c>
    </row>
    <row r="8" spans="1:16" ht="27.95" customHeight="1">
      <c r="B8" t="s">
        <v>358</v>
      </c>
      <c r="F8" s="43" t="s">
        <v>17</v>
      </c>
      <c r="G8" s="37" t="s">
        <v>0</v>
      </c>
    </row>
    <row r="9" spans="1:16" ht="20.100000000000001" customHeight="1">
      <c r="B9" s="29" t="s">
        <v>358</v>
      </c>
      <c r="F9" s="30" t="s">
        <v>2</v>
      </c>
      <c r="G9" s="32" t="s">
        <v>4</v>
      </c>
      <c r="H9" s="59">
        <v>64.423947182866002</v>
      </c>
      <c r="I9" s="59">
        <v>70.140009907228503</v>
      </c>
      <c r="J9" s="59">
        <v>78.659331521328596</v>
      </c>
      <c r="K9" s="59">
        <v>82.716541964447401</v>
      </c>
      <c r="L9" s="59">
        <v>87.135342530414604</v>
      </c>
      <c r="M9" s="59">
        <v>88.298075218877997</v>
      </c>
      <c r="N9" s="59">
        <v>87.861929037088402</v>
      </c>
      <c r="O9" s="16">
        <f>((N9/H9)^(1/6)-1)*100</f>
        <v>5.3074025087420651</v>
      </c>
    </row>
    <row r="10" spans="1:16" ht="20.100000000000001" customHeight="1">
      <c r="B10" s="29" t="s">
        <v>358</v>
      </c>
      <c r="F10" s="80" t="s">
        <v>127</v>
      </c>
      <c r="G10" s="32" t="s">
        <v>4</v>
      </c>
      <c r="H10" s="59">
        <v>9.2079251187216808</v>
      </c>
      <c r="I10" s="59">
        <v>10.137789478001499</v>
      </c>
      <c r="J10" s="59">
        <v>12.2016347632322</v>
      </c>
      <c r="K10" s="59">
        <v>12.1880269921208</v>
      </c>
      <c r="L10" s="59">
        <v>13.517052637335301</v>
      </c>
      <c r="M10" s="59">
        <v>13.902606152158601</v>
      </c>
      <c r="N10" s="59">
        <v>14.124866413645</v>
      </c>
      <c r="O10" s="16">
        <f t="shared" ref="O10:O21" si="1">((N10/H10)^(1/6)-1)*100</f>
        <v>7.3916285649797686</v>
      </c>
    </row>
    <row r="11" spans="1:16" ht="20.100000000000001" customHeight="1">
      <c r="B11" s="29" t="s">
        <v>358</v>
      </c>
      <c r="F11" s="80" t="s">
        <v>88</v>
      </c>
      <c r="G11" s="32" t="s">
        <v>4</v>
      </c>
      <c r="H11" s="59">
        <v>13.7438488225255</v>
      </c>
      <c r="I11" s="59">
        <v>16.3293253336936</v>
      </c>
      <c r="J11" s="59">
        <v>16.3293253336936</v>
      </c>
      <c r="K11" s="59">
        <v>16.3293253336936</v>
      </c>
      <c r="L11" s="59">
        <v>16.3293253336936</v>
      </c>
      <c r="M11" s="59">
        <v>16.3293253336936</v>
      </c>
      <c r="N11" s="59">
        <v>16.3293253336936</v>
      </c>
      <c r="O11" s="16">
        <f t="shared" si="1"/>
        <v>2.914518238920949</v>
      </c>
    </row>
    <row r="12" spans="1:16" ht="20.100000000000001" customHeight="1">
      <c r="B12" s="29" t="s">
        <v>358</v>
      </c>
      <c r="F12" s="80" t="s">
        <v>89</v>
      </c>
      <c r="G12" s="32" t="s">
        <v>4</v>
      </c>
      <c r="H12" s="59">
        <v>24.906757057586599</v>
      </c>
      <c r="I12" s="59">
        <v>27.076490510652601</v>
      </c>
      <c r="J12" s="59">
        <v>31.634640240604998</v>
      </c>
      <c r="K12" s="59">
        <v>32.894719845521699</v>
      </c>
      <c r="L12" s="59">
        <v>35.839240368494501</v>
      </c>
      <c r="M12" s="59">
        <v>35.822003858419997</v>
      </c>
      <c r="N12" s="59">
        <v>34.609097860022899</v>
      </c>
      <c r="O12" s="16">
        <f t="shared" si="1"/>
        <v>5.6360570316164482</v>
      </c>
    </row>
    <row r="13" spans="1:16" ht="20.100000000000001" customHeight="1">
      <c r="B13" s="29" t="s">
        <v>358</v>
      </c>
      <c r="F13" s="80" t="s">
        <v>86</v>
      </c>
      <c r="G13" s="32" t="s">
        <v>4</v>
      </c>
      <c r="H13" s="59">
        <v>3.16289959866238</v>
      </c>
      <c r="I13" s="59">
        <v>3.0662844237713598</v>
      </c>
      <c r="J13" s="59">
        <v>3.0662844237713598</v>
      </c>
      <c r="K13" s="59">
        <v>3.2477213719235101</v>
      </c>
      <c r="L13" s="59">
        <v>3.0662844237713598</v>
      </c>
      <c r="M13" s="59">
        <v>3.79203221637996</v>
      </c>
      <c r="N13" s="59">
        <v>4.0641876386081899</v>
      </c>
      <c r="O13" s="16">
        <f t="shared" si="1"/>
        <v>4.2672831392166488</v>
      </c>
    </row>
    <row r="14" spans="1:16" ht="27.95" customHeight="1">
      <c r="B14" s="29" t="s">
        <v>358</v>
      </c>
      <c r="F14" s="30" t="s">
        <v>44</v>
      </c>
      <c r="G14" s="32" t="s">
        <v>4</v>
      </c>
      <c r="H14" s="59">
        <v>87.006864924479999</v>
      </c>
      <c r="I14" s="59">
        <v>95.358766187040004</v>
      </c>
      <c r="J14" s="59">
        <v>92.070295070399993</v>
      </c>
      <c r="K14" s="59">
        <v>95.135451149760001</v>
      </c>
      <c r="L14" s="59">
        <v>98.066485425440007</v>
      </c>
      <c r="M14" s="59">
        <v>97.851995346400003</v>
      </c>
      <c r="N14" s="59">
        <v>94.587379214560002</v>
      </c>
      <c r="O14" s="16">
        <f t="shared" si="1"/>
        <v>1.4020212823850686</v>
      </c>
    </row>
    <row r="15" spans="1:16" ht="20.100000000000001" customHeight="1">
      <c r="B15" s="29" t="s">
        <v>358</v>
      </c>
      <c r="F15" s="80" t="s">
        <v>52</v>
      </c>
      <c r="G15" s="32" t="s">
        <v>4</v>
      </c>
      <c r="H15" s="59">
        <v>13.193841834720001</v>
      </c>
      <c r="I15" s="59">
        <v>14.109007546080001</v>
      </c>
      <c r="J15" s="59">
        <v>14.614458111839999</v>
      </c>
      <c r="K15" s="59">
        <v>18.292158616799998</v>
      </c>
      <c r="L15" s="59">
        <v>21.342913817279999</v>
      </c>
      <c r="M15" s="59">
        <v>18.805165515519999</v>
      </c>
      <c r="N15" s="59">
        <v>17.79796696064</v>
      </c>
      <c r="O15" s="16">
        <f t="shared" si="1"/>
        <v>5.1154419121824279</v>
      </c>
    </row>
    <row r="16" spans="1:16" ht="20.100000000000001" customHeight="1">
      <c r="B16" s="29" t="s">
        <v>358</v>
      </c>
      <c r="F16" s="80" t="s">
        <v>235</v>
      </c>
      <c r="G16" s="32" t="s">
        <v>4</v>
      </c>
      <c r="H16" s="59">
        <v>21.178013612640001</v>
      </c>
      <c r="I16" s="59">
        <v>21.97817512224</v>
      </c>
      <c r="J16" s="59">
        <v>20.257371510719999</v>
      </c>
      <c r="K16" s="59">
        <v>20.257371510719999</v>
      </c>
      <c r="L16" s="59">
        <v>20.257371510719999</v>
      </c>
      <c r="M16" s="59">
        <v>20.257371510719999</v>
      </c>
      <c r="N16" s="59">
        <v>20.957371510720002</v>
      </c>
      <c r="O16" s="16">
        <f t="shared" si="1"/>
        <v>-0.17439946732890066</v>
      </c>
    </row>
    <row r="17" spans="1:16" ht="20.100000000000001" customHeight="1">
      <c r="B17" s="29" t="s">
        <v>358</v>
      </c>
      <c r="F17" s="80" t="s">
        <v>55</v>
      </c>
      <c r="G17" s="32" t="s">
        <v>4</v>
      </c>
      <c r="H17" s="59">
        <v>2.0193683116800001</v>
      </c>
      <c r="I17" s="59">
        <v>2.0193683116800001</v>
      </c>
      <c r="J17" s="59">
        <v>2.0193683116800001</v>
      </c>
      <c r="K17" s="59">
        <v>2.0193683116800001</v>
      </c>
      <c r="L17" s="59">
        <v>2.0193683116800001</v>
      </c>
      <c r="M17" s="59">
        <v>3.4219327828799999</v>
      </c>
      <c r="N17" s="59">
        <v>2.2998812059199998</v>
      </c>
      <c r="O17" s="16">
        <f t="shared" si="1"/>
        <v>2.1915479972251406</v>
      </c>
    </row>
    <row r="18" spans="1:16" ht="20.100000000000001" customHeight="1">
      <c r="B18" s="29" t="s">
        <v>358</v>
      </c>
      <c r="F18" s="80" t="s">
        <v>86</v>
      </c>
      <c r="G18" s="32" t="s">
        <v>4</v>
      </c>
      <c r="H18" s="59">
        <v>5.9988787852799996</v>
      </c>
      <c r="I18" s="59">
        <v>5.9988787852799996</v>
      </c>
      <c r="J18" s="59">
        <v>7.2716325172799996</v>
      </c>
      <c r="K18" s="59">
        <v>6.5779563796799998</v>
      </c>
      <c r="L18" s="59">
        <v>7.5910886332800001</v>
      </c>
      <c r="M18" s="59">
        <v>6.5728856476799997</v>
      </c>
      <c r="N18" s="59">
        <v>6.5728856476799997</v>
      </c>
      <c r="O18" s="16">
        <f t="shared" si="1"/>
        <v>1.5346629950798274</v>
      </c>
    </row>
    <row r="19" spans="1:16" ht="20.100000000000001" customHeight="1">
      <c r="B19" s="29" t="s">
        <v>358</v>
      </c>
      <c r="F19" s="80" t="s">
        <v>57</v>
      </c>
      <c r="G19" s="32" t="s">
        <v>4</v>
      </c>
      <c r="H19" s="59">
        <v>21.545540268</v>
      </c>
      <c r="I19" s="59">
        <v>21.799076868</v>
      </c>
      <c r="J19" s="59">
        <v>20.784930467999999</v>
      </c>
      <c r="K19" s="59">
        <v>20.784930467999999</v>
      </c>
      <c r="L19" s="59">
        <v>20.784930467999999</v>
      </c>
      <c r="M19" s="59">
        <v>20.784930467999999</v>
      </c>
      <c r="N19" s="59">
        <v>21.484930468000002</v>
      </c>
      <c r="O19" s="16">
        <f t="shared" si="1"/>
        <v>-4.6940081279533974E-2</v>
      </c>
    </row>
    <row r="20" spans="1:16" ht="27.95" customHeight="1">
      <c r="B20" s="29" t="s">
        <v>358</v>
      </c>
      <c r="F20" s="30" t="s">
        <v>247</v>
      </c>
      <c r="G20" s="32" t="s">
        <v>45</v>
      </c>
      <c r="H20" s="59">
        <v>62.511666666666699</v>
      </c>
      <c r="I20" s="59">
        <v>98.550327847604194</v>
      </c>
      <c r="J20" s="59">
        <v>105.23545426684301</v>
      </c>
      <c r="K20" s="59">
        <v>108.85168108748501</v>
      </c>
      <c r="L20" s="59">
        <v>113.074259139223</v>
      </c>
      <c r="M20" s="59">
        <v>117.72352091753</v>
      </c>
      <c r="N20" s="59">
        <v>120.58017255783101</v>
      </c>
      <c r="O20" s="16">
        <f t="shared" si="1"/>
        <v>11.571294116012831</v>
      </c>
    </row>
    <row r="21" spans="1:16" ht="17.25" customHeight="1">
      <c r="B21" s="29" t="s">
        <v>358</v>
      </c>
      <c r="F21" s="30" t="s">
        <v>248</v>
      </c>
      <c r="G21" s="37" t="s">
        <v>45</v>
      </c>
      <c r="H21" s="59">
        <v>63.8869233333333</v>
      </c>
      <c r="I21" s="59">
        <v>98.550327847604294</v>
      </c>
      <c r="J21" s="59">
        <v>103.273262283458</v>
      </c>
      <c r="K21" s="59">
        <v>104.568608400149</v>
      </c>
      <c r="L21" s="59">
        <v>106.436698825169</v>
      </c>
      <c r="M21" s="59">
        <v>108.49982842972</v>
      </c>
      <c r="N21" s="59">
        <v>108.812771793867</v>
      </c>
      <c r="O21" s="16">
        <f t="shared" si="1"/>
        <v>9.2809973405828536</v>
      </c>
    </row>
    <row r="22" spans="1:16" ht="17.25" customHeight="1">
      <c r="B22" t="s">
        <v>358</v>
      </c>
      <c r="F22" s="30"/>
      <c r="O22" s="16"/>
    </row>
    <row r="23" spans="1:16" ht="17.25" customHeight="1">
      <c r="A23" s="132"/>
      <c r="B23" s="129" t="s">
        <v>358</v>
      </c>
      <c r="C23" s="132"/>
      <c r="D23" s="132"/>
      <c r="E23" s="132"/>
      <c r="F23" s="131"/>
      <c r="G23" s="143"/>
      <c r="H23" s="133" t="str">
        <f t="shared" ref="H23:N23" si="2">CONCATENATE(H$3-1,"-",RIGHT(H$3,2))</f>
        <v>2022-23</v>
      </c>
      <c r="I23" s="133" t="str">
        <f t="shared" si="2"/>
        <v>2023-24</v>
      </c>
      <c r="J23" s="133" t="str">
        <f t="shared" si="2"/>
        <v>2024-25</v>
      </c>
      <c r="K23" s="133" t="str">
        <f t="shared" si="2"/>
        <v>2025-26</v>
      </c>
      <c r="L23" s="133" t="str">
        <f t="shared" si="2"/>
        <v>2026-27</v>
      </c>
      <c r="M23" s="133" t="str">
        <f t="shared" si="2"/>
        <v>2027-28</v>
      </c>
      <c r="N23" s="133" t="str">
        <f t="shared" si="2"/>
        <v>2028-29</v>
      </c>
      <c r="O23" s="141"/>
      <c r="P23" s="132"/>
    </row>
    <row r="24" spans="1:16" ht="17.25" customHeight="1">
      <c r="B24" s="29" t="s">
        <v>358</v>
      </c>
      <c r="F24" s="30"/>
      <c r="G24" s="32"/>
      <c r="O24" s="16"/>
    </row>
    <row r="25" spans="1:16" ht="17.25" customHeight="1">
      <c r="B25" t="s">
        <v>358</v>
      </c>
      <c r="F25" s="30"/>
      <c r="G25" s="32"/>
      <c r="H25" s="31"/>
      <c r="I25" s="31"/>
      <c r="J25" s="31"/>
      <c r="K25" s="31"/>
      <c r="L25" s="31"/>
      <c r="M25" s="31"/>
      <c r="N25" s="31"/>
      <c r="O25" s="16"/>
    </row>
    <row r="26" spans="1:16" ht="20.100000000000001" customHeight="1">
      <c r="B26" t="s">
        <v>358</v>
      </c>
      <c r="F26" s="30"/>
      <c r="G26" s="32"/>
      <c r="H26" s="52" t="str">
        <f>CONCATENATE(H$3-1,"–",RIGHT(H$3,2))</f>
        <v>2022–23</v>
      </c>
      <c r="I26" s="52" t="str">
        <f>CONCATENATE(CONCATENATE(I$3-1,"–",RIGHT(I$3,2)),IF($A$4&gt;6,""," f"))</f>
        <v>2023–24 f</v>
      </c>
      <c r="J26" s="52" t="str">
        <f>CONCATENATE(CONCATENATE(J$3-1,"–",RIGHT(J$3,2))," f")</f>
        <v>2024–25 f</v>
      </c>
      <c r="K26" s="52" t="str">
        <f>CONCATENATE(CONCATENATE(K$3-1,"–",RIGHT(K$3,2))," f")</f>
        <v>2025–26 f</v>
      </c>
      <c r="L26" s="52" t="str">
        <f>CONCATENATE(CONCATENATE(L$3-1,"–",RIGHT(L$3,2))," z")</f>
        <v>2026–27 z</v>
      </c>
      <c r="M26" s="52" t="str">
        <f>CONCATENATE(CONCATENATE(M$3-1,"–",RIGHT(M$3,2))," z")</f>
        <v>2027–28 z</v>
      </c>
      <c r="N26" s="52" t="str">
        <f>CONCATENATE(CONCATENATE(N$3-1,"–",RIGHT(N$3,2))," z")</f>
        <v>2028–29 z</v>
      </c>
      <c r="O26" s="52" t="s">
        <v>184</v>
      </c>
    </row>
    <row r="27" spans="1:16" ht="20.100000000000001" customHeight="1">
      <c r="B27" t="s">
        <v>358</v>
      </c>
      <c r="F27" s="43" t="s">
        <v>28</v>
      </c>
      <c r="G27" s="32" t="s">
        <v>0</v>
      </c>
      <c r="H27" s="35"/>
      <c r="I27" s="35"/>
      <c r="J27" s="35"/>
      <c r="K27" s="35"/>
      <c r="L27" s="35"/>
      <c r="M27" s="35"/>
      <c r="N27" s="35"/>
      <c r="O27" s="104"/>
    </row>
    <row r="28" spans="1:16" ht="20.100000000000001" customHeight="1">
      <c r="B28" s="29" t="s">
        <v>358</v>
      </c>
      <c r="F28" s="30" t="s">
        <v>2</v>
      </c>
      <c r="G28" s="32" t="s">
        <v>36</v>
      </c>
      <c r="H28" s="105">
        <v>5872.8532299999997</v>
      </c>
      <c r="I28" s="105">
        <v>6024.1414686406997</v>
      </c>
      <c r="J28" s="105">
        <v>6012.0440009365602</v>
      </c>
      <c r="K28" s="105">
        <v>6517.0440009365602</v>
      </c>
      <c r="L28" s="105">
        <v>6717.0440009365602</v>
      </c>
      <c r="M28" s="105">
        <v>6817.0440009365602</v>
      </c>
      <c r="N28" s="105">
        <v>7217.0440009365602</v>
      </c>
      <c r="O28" s="16">
        <f t="shared" ref="O28:O33" si="3">((N28/H28)^(1/6)-1)*100</f>
        <v>3.4947613941814337</v>
      </c>
    </row>
    <row r="29" spans="1:16" ht="27.95" customHeight="1">
      <c r="B29" s="29" t="s">
        <v>358</v>
      </c>
      <c r="F29" s="30" t="s">
        <v>39</v>
      </c>
      <c r="G29" s="32" t="s">
        <v>36</v>
      </c>
      <c r="H29" s="106">
        <v>4809.2935960000004</v>
      </c>
      <c r="I29" s="106">
        <v>5478.0410004682799</v>
      </c>
      <c r="J29" s="106">
        <v>6012.0440009365602</v>
      </c>
      <c r="K29" s="106">
        <v>6517.0440009365602</v>
      </c>
      <c r="L29" s="106">
        <v>6717.0440009365602</v>
      </c>
      <c r="M29" s="106">
        <v>6817.0440009365602</v>
      </c>
      <c r="N29" s="106">
        <v>7217.0440009365602</v>
      </c>
      <c r="O29" s="16">
        <f t="shared" si="3"/>
        <v>6.998989715772197</v>
      </c>
    </row>
    <row r="30" spans="1:16" ht="20.100000000000001" customHeight="1">
      <c r="B30" s="29" t="s">
        <v>358</v>
      </c>
      <c r="F30" s="38" t="s">
        <v>46</v>
      </c>
      <c r="G30" s="32" t="s">
        <v>16</v>
      </c>
      <c r="H30" s="47">
        <v>811.50226399999997</v>
      </c>
      <c r="I30" s="47">
        <v>1180.90042269281</v>
      </c>
      <c r="J30" s="47">
        <v>1630.4948725725001</v>
      </c>
      <c r="K30" s="47">
        <v>1912.63288662487</v>
      </c>
      <c r="L30" s="47">
        <v>2147.9747568683301</v>
      </c>
      <c r="M30" s="47">
        <v>2266.56808178033</v>
      </c>
      <c r="N30" s="47">
        <v>2335.3982529418299</v>
      </c>
      <c r="O30" s="16">
        <f t="shared" si="3"/>
        <v>19.264686025717847</v>
      </c>
    </row>
    <row r="31" spans="1:16" ht="20.100000000000001" customHeight="1">
      <c r="B31" s="29" t="s">
        <v>358</v>
      </c>
      <c r="F31" s="38" t="s">
        <v>125</v>
      </c>
      <c r="G31" s="32" t="s">
        <v>16</v>
      </c>
      <c r="H31" s="47">
        <v>844.113922489993</v>
      </c>
      <c r="I31" s="47">
        <v>1180.90042269281</v>
      </c>
      <c r="J31" s="47">
        <v>1580.3277456386299</v>
      </c>
      <c r="K31" s="47">
        <v>1803.96991683131</v>
      </c>
      <c r="L31" s="47">
        <v>1976.5280397946001</v>
      </c>
      <c r="M31" s="47">
        <v>2034.7858546662701</v>
      </c>
      <c r="N31" s="47">
        <v>2045.4413289552101</v>
      </c>
      <c r="O31" s="16">
        <f t="shared" si="3"/>
        <v>15.894900571822879</v>
      </c>
    </row>
    <row r="32" spans="1:16" ht="27.95" customHeight="1">
      <c r="B32" s="29" t="s">
        <v>358</v>
      </c>
      <c r="F32" s="30" t="s">
        <v>47</v>
      </c>
      <c r="G32" s="32" t="s">
        <v>48</v>
      </c>
      <c r="H32" s="103">
        <v>168.73627026533501</v>
      </c>
      <c r="I32" s="103">
        <v>215.56984012932</v>
      </c>
      <c r="J32" s="103">
        <v>271.20474705749001</v>
      </c>
      <c r="K32" s="103">
        <v>293.48165922310801</v>
      </c>
      <c r="L32" s="103">
        <v>319.77976570777798</v>
      </c>
      <c r="M32" s="103">
        <v>332.485470457421</v>
      </c>
      <c r="N32" s="103">
        <v>323.59484750803301</v>
      </c>
      <c r="O32" s="16">
        <f t="shared" si="3"/>
        <v>11.463375815535958</v>
      </c>
    </row>
    <row r="33" spans="2:16" ht="20.100000000000001" customHeight="1">
      <c r="B33" s="29" t="s">
        <v>358</v>
      </c>
      <c r="F33" s="30" t="s">
        <v>128</v>
      </c>
      <c r="G33" s="32" t="s">
        <v>48</v>
      </c>
      <c r="H33" s="103">
        <v>175.517236708539</v>
      </c>
      <c r="I33" s="103">
        <v>215.56984012932</v>
      </c>
      <c r="J33" s="103">
        <v>262.86030930453097</v>
      </c>
      <c r="K33" s="103">
        <v>276.80800015652198</v>
      </c>
      <c r="L33" s="103">
        <v>294.25563380543798</v>
      </c>
      <c r="M33" s="103">
        <v>298.48506983183898</v>
      </c>
      <c r="N33" s="103">
        <v>283.41815966339902</v>
      </c>
      <c r="O33" s="16">
        <f t="shared" si="3"/>
        <v>8.3140138796463869</v>
      </c>
    </row>
    <row r="34" spans="2:16" ht="9.9499999999999993" customHeight="1">
      <c r="B34" t="s">
        <v>358</v>
      </c>
      <c r="F34" s="30"/>
      <c r="G34" s="32"/>
      <c r="H34" s="36"/>
      <c r="I34" s="36"/>
      <c r="J34" s="36"/>
      <c r="K34" s="36"/>
      <c r="L34" s="36"/>
      <c r="M34" s="36"/>
      <c r="N34" s="36"/>
      <c r="O34" s="16"/>
    </row>
    <row r="35" spans="2:16" ht="9.9499999999999993" customHeight="1">
      <c r="B35" t="s">
        <v>358</v>
      </c>
      <c r="F35" s="30"/>
      <c r="G35" s="32"/>
      <c r="H35" s="36"/>
      <c r="I35" s="36"/>
      <c r="J35" s="36"/>
      <c r="K35" s="36"/>
      <c r="L35" s="36"/>
      <c r="M35" s="36"/>
      <c r="N35" s="36"/>
      <c r="O35" s="16"/>
      <c r="P35" s="29" t="s">
        <v>358</v>
      </c>
    </row>
    <row r="36" spans="2:16" ht="18" customHeight="1">
      <c r="B36" t="s">
        <v>358</v>
      </c>
      <c r="F36" s="16" t="s">
        <v>119</v>
      </c>
      <c r="O36" s="16"/>
    </row>
    <row r="37" spans="2:16" ht="18" customHeight="1">
      <c r="B37" t="s">
        <v>358</v>
      </c>
      <c r="E37" s="39" t="s">
        <v>254</v>
      </c>
      <c r="F37" s="30" t="s">
        <v>306</v>
      </c>
      <c r="O37" s="16"/>
    </row>
    <row r="38" spans="2:16" ht="18" customHeight="1">
      <c r="B38" t="s">
        <v>358</v>
      </c>
      <c r="E38" s="39" t="s">
        <v>255</v>
      </c>
      <c r="F38" s="24" t="s">
        <v>336</v>
      </c>
      <c r="O38" s="16"/>
    </row>
    <row r="39" spans="2:16" ht="18" customHeight="1">
      <c r="B39" t="s">
        <v>358</v>
      </c>
      <c r="E39" s="39" t="s">
        <v>256</v>
      </c>
      <c r="F39" s="42" t="s">
        <v>278</v>
      </c>
      <c r="O39" s="16"/>
      <c r="P39" s="29" t="s">
        <v>358</v>
      </c>
    </row>
    <row r="40" spans="2:16" ht="18" customHeight="1">
      <c r="B40" t="s">
        <v>358</v>
      </c>
      <c r="E40" s="39" t="s">
        <v>260</v>
      </c>
      <c r="F40" s="30" t="s">
        <v>296</v>
      </c>
      <c r="O40" s="16"/>
    </row>
    <row r="41" spans="2:16" ht="18" customHeight="1">
      <c r="B41" t="s">
        <v>358</v>
      </c>
      <c r="E41" s="39" t="s">
        <v>261</v>
      </c>
      <c r="F41" s="29" t="str">
        <f>CONCATENATE("Compound annual growth rate (per cent), for the period from ", $A$3 - 1, " to ", $A$3+ 5, " or for the equivalent financial years.")</f>
        <v>Compound annual growth rate (per cent), for the period from 2023 to 2029 or for the equivalent financial years.</v>
      </c>
      <c r="O41" s="16"/>
    </row>
    <row r="42" spans="2:16" ht="18" customHeight="1">
      <c r="B42" t="s">
        <v>358</v>
      </c>
      <c r="E42" s="39" t="s">
        <v>262</v>
      </c>
      <c r="F42" s="42" t="s">
        <v>298</v>
      </c>
      <c r="O42" s="16"/>
    </row>
    <row r="43" spans="2:16" ht="18" customHeight="1">
      <c r="F43" s="42" t="s">
        <v>328</v>
      </c>
      <c r="O43" s="16"/>
    </row>
    <row r="44" spans="2:16" ht="18" customHeight="1">
      <c r="O44" s="16"/>
    </row>
    <row r="45" spans="2:16" ht="18" customHeight="1">
      <c r="O45" s="16"/>
    </row>
    <row r="46" spans="2:16" ht="18" customHeight="1">
      <c r="O46" s="16"/>
    </row>
  </sheetData>
  <pageMargins left="0" right="0" top="0" bottom="0" header="0" footer="0"/>
  <pageSetup paperSize="9" scale="73" fitToHeight="0"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38"/>
  <sheetViews>
    <sheetView zoomScale="90" zoomScaleNormal="90" zoomScaleSheetLayoutView="115" workbookViewId="0">
      <selection activeCell="H26" sqref="H26"/>
    </sheetView>
  </sheetViews>
  <sheetFormatPr defaultColWidth="10.625" defaultRowHeight="14.25"/>
  <cols>
    <col min="1" max="1" width="14.625" customWidth="1"/>
    <col min="4" max="4" width="11.625" customWidth="1"/>
    <col min="5" max="5" width="1.875" customWidth="1"/>
    <col min="6" max="6" width="27.625" customWidth="1"/>
    <col min="7" max="7" width="9.6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1"/>
      <c r="G4" s="132"/>
      <c r="H4" s="132"/>
      <c r="I4" s="132"/>
      <c r="J4" s="132"/>
      <c r="K4" s="132"/>
      <c r="L4" s="132"/>
      <c r="M4" s="132"/>
      <c r="N4" s="132"/>
      <c r="O4" s="133"/>
      <c r="P4" s="132"/>
    </row>
    <row r="5" spans="1:16" ht="18" customHeight="1">
      <c r="B5" t="s">
        <v>358</v>
      </c>
      <c r="F5" s="30"/>
    </row>
    <row r="6" spans="1:16" ht="18" customHeight="1">
      <c r="B6" t="s">
        <v>358</v>
      </c>
      <c r="D6" s="29" t="s">
        <v>358</v>
      </c>
      <c r="F6" s="12" t="s">
        <v>76</v>
      </c>
      <c r="G6" s="62"/>
      <c r="H6" s="62" t="s">
        <v>0</v>
      </c>
      <c r="I6" s="62"/>
      <c r="J6" s="62"/>
      <c r="K6" s="62"/>
      <c r="L6" s="62"/>
      <c r="M6" s="62"/>
      <c r="N6" s="62"/>
    </row>
    <row r="7" spans="1:16" ht="20.100000000000001" customHeight="1">
      <c r="B7" t="s">
        <v>358</v>
      </c>
      <c r="D7" s="29" t="s">
        <v>358</v>
      </c>
      <c r="F7" s="51"/>
      <c r="G7" s="52" t="s">
        <v>1</v>
      </c>
      <c r="H7" s="135">
        <f>H3</f>
        <v>2023</v>
      </c>
      <c r="I7" s="52" t="str">
        <f>CONCATENATE(I3," f")</f>
        <v>2024 f</v>
      </c>
      <c r="J7" s="52" t="str">
        <f>CONCATENATE(J3," f")</f>
        <v>2025 f</v>
      </c>
      <c r="K7" s="52" t="str">
        <f>CONCATENATE(K3," f")</f>
        <v>2026 f</v>
      </c>
      <c r="L7" s="52" t="str">
        <f>CONCATENATE(L3," z")</f>
        <v>2027 z</v>
      </c>
      <c r="M7" s="52" t="str">
        <f>CONCATENATE(M3," z")</f>
        <v>2028 z</v>
      </c>
      <c r="N7" s="52" t="str">
        <f>CONCATENATE(N3," z")</f>
        <v>2029 z</v>
      </c>
      <c r="O7" s="41" t="s">
        <v>184</v>
      </c>
    </row>
    <row r="8" spans="1:16" ht="27.95" customHeight="1">
      <c r="B8" t="s">
        <v>358</v>
      </c>
      <c r="F8" s="79" t="s">
        <v>30</v>
      </c>
      <c r="G8" s="32"/>
      <c r="H8" s="35"/>
      <c r="I8" s="35"/>
      <c r="J8" s="35"/>
      <c r="K8" s="35"/>
      <c r="L8" s="35"/>
      <c r="M8" s="35"/>
      <c r="N8" s="35"/>
    </row>
    <row r="9" spans="1:16" ht="20.100000000000001" customHeight="1">
      <c r="B9" s="29" t="s">
        <v>358</v>
      </c>
      <c r="F9" s="30" t="s">
        <v>151</v>
      </c>
      <c r="G9" s="32" t="s">
        <v>36</v>
      </c>
      <c r="H9" s="47">
        <v>4448.3518521757096</v>
      </c>
      <c r="I9" s="47">
        <v>4414.9844306276</v>
      </c>
      <c r="J9" s="47">
        <v>4230.4517778991403</v>
      </c>
      <c r="K9" s="47">
        <v>4390.187993693</v>
      </c>
      <c r="L9" s="47">
        <v>4474.8998860792199</v>
      </c>
      <c r="M9" s="47">
        <v>4585.4120344929297</v>
      </c>
      <c r="N9" s="47">
        <v>4704.2244173357103</v>
      </c>
      <c r="O9" s="16">
        <f>((N9/H9)^(1/6)-1)*100</f>
        <v>0.93647877632598853</v>
      </c>
    </row>
    <row r="10" spans="1:16" ht="20.100000000000001" customHeight="1">
      <c r="B10" s="29" t="s">
        <v>358</v>
      </c>
      <c r="F10" s="30" t="s">
        <v>335</v>
      </c>
      <c r="G10" s="32" t="s">
        <v>36</v>
      </c>
      <c r="H10" s="47">
        <v>2465.8392301301601</v>
      </c>
      <c r="I10" s="47">
        <v>2705.8913975307</v>
      </c>
      <c r="J10" s="47">
        <v>2834.5119666729202</v>
      </c>
      <c r="K10" s="47">
        <v>2855.5587472626198</v>
      </c>
      <c r="L10" s="47">
        <v>2889.3988919416902</v>
      </c>
      <c r="M10" s="47">
        <v>2923.7095519977001</v>
      </c>
      <c r="N10" s="47">
        <v>2812.3590459346601</v>
      </c>
      <c r="O10" s="16">
        <f t="shared" ref="O10:O27" si="1">((N10/H10)^(1/6)-1)*100</f>
        <v>2.2157142972340615</v>
      </c>
    </row>
    <row r="11" spans="1:16" ht="27.95" customHeight="1">
      <c r="B11" s="29" t="s">
        <v>358</v>
      </c>
      <c r="F11" s="30" t="s">
        <v>37</v>
      </c>
      <c r="G11" s="32" t="s">
        <v>36</v>
      </c>
      <c r="H11" s="47">
        <v>3644.40776695466</v>
      </c>
      <c r="I11" s="47">
        <v>3764.6732232641598</v>
      </c>
      <c r="J11" s="47">
        <v>3779.73191615722</v>
      </c>
      <c r="K11" s="47">
        <v>3849.5468225642098</v>
      </c>
      <c r="L11" s="47">
        <v>3874.6441034995901</v>
      </c>
      <c r="M11" s="47">
        <v>3850.3962388785899</v>
      </c>
      <c r="N11" s="47">
        <v>3800.3410877731699</v>
      </c>
      <c r="O11" s="16">
        <f t="shared" si="1"/>
        <v>0.70072615313849784</v>
      </c>
    </row>
    <row r="12" spans="1:16" ht="27.95" customHeight="1">
      <c r="B12" t="s">
        <v>358</v>
      </c>
      <c r="F12" s="30" t="s">
        <v>130</v>
      </c>
      <c r="G12" s="32"/>
      <c r="H12" s="47"/>
      <c r="I12" s="47"/>
      <c r="J12" s="47"/>
      <c r="K12" s="47"/>
      <c r="L12" s="47"/>
      <c r="M12" s="47"/>
      <c r="N12" s="47"/>
      <c r="O12" s="16"/>
    </row>
    <row r="13" spans="1:16" ht="20.100000000000001" customHeight="1">
      <c r="B13" s="29" t="s">
        <v>358</v>
      </c>
      <c r="F13" s="30" t="s">
        <v>8</v>
      </c>
      <c r="G13" s="37" t="s">
        <v>38</v>
      </c>
      <c r="H13" s="47">
        <v>1942.7393938309799</v>
      </c>
      <c r="I13" s="47">
        <v>2022.5</v>
      </c>
      <c r="J13" s="47">
        <v>2030</v>
      </c>
      <c r="K13" s="47">
        <v>1923.75</v>
      </c>
      <c r="L13" s="47">
        <v>1875</v>
      </c>
      <c r="M13" s="47">
        <v>1883.3665409156199</v>
      </c>
      <c r="N13" s="47">
        <v>1945.3936760179599</v>
      </c>
      <c r="O13" s="16">
        <f t="shared" si="1"/>
        <v>2.275800554363272E-2</v>
      </c>
    </row>
    <row r="14" spans="1:16" ht="24.75" customHeight="1">
      <c r="B14" s="29" t="s">
        <v>358</v>
      </c>
      <c r="F14" s="30" t="s">
        <v>128</v>
      </c>
      <c r="G14" s="37" t="s">
        <v>38</v>
      </c>
      <c r="H14" s="47">
        <v>1985.4796604952701</v>
      </c>
      <c r="I14" s="47">
        <v>2022.5</v>
      </c>
      <c r="J14" s="47">
        <v>1992.1491658488701</v>
      </c>
      <c r="K14" s="47">
        <v>1848.0546960787001</v>
      </c>
      <c r="L14" s="47">
        <v>1764.93582019822</v>
      </c>
      <c r="M14" s="47">
        <v>1735.80389854949</v>
      </c>
      <c r="N14" s="47">
        <v>1755.54300203253</v>
      </c>
      <c r="O14" s="16">
        <f t="shared" si="1"/>
        <v>-2.0304744315697509</v>
      </c>
    </row>
    <row r="15" spans="1:16" ht="16.5" customHeight="1">
      <c r="B15" t="s">
        <v>358</v>
      </c>
      <c r="F15" s="30"/>
      <c r="G15" s="32"/>
      <c r="H15" s="31"/>
      <c r="I15" s="31"/>
      <c r="J15" s="31"/>
      <c r="K15" s="31"/>
      <c r="L15" s="31"/>
      <c r="M15" s="31"/>
      <c r="N15" s="31"/>
      <c r="O15" s="16"/>
    </row>
    <row r="16" spans="1:16" ht="16.5" customHeight="1">
      <c r="A16" s="132"/>
      <c r="B16" s="129" t="s">
        <v>358</v>
      </c>
      <c r="C16" s="132"/>
      <c r="D16" s="132"/>
      <c r="E16" s="132"/>
      <c r="F16" s="131"/>
      <c r="G16" s="143"/>
      <c r="H16" s="133" t="str">
        <f t="shared" ref="H16:N16" si="2">CONCATENATE(H$3-1,"-",RIGHT(H$3,2))</f>
        <v>2022-23</v>
      </c>
      <c r="I16" s="133" t="str">
        <f t="shared" si="2"/>
        <v>2023-24</v>
      </c>
      <c r="J16" s="133" t="str">
        <f t="shared" si="2"/>
        <v>2024-25</v>
      </c>
      <c r="K16" s="133" t="str">
        <f t="shared" si="2"/>
        <v>2025-26</v>
      </c>
      <c r="L16" s="133" t="str">
        <f t="shared" si="2"/>
        <v>2026-27</v>
      </c>
      <c r="M16" s="133" t="str">
        <f t="shared" si="2"/>
        <v>2027-28</v>
      </c>
      <c r="N16" s="133" t="str">
        <f t="shared" si="2"/>
        <v>2028-29</v>
      </c>
      <c r="O16" s="141"/>
      <c r="P16" s="132"/>
    </row>
    <row r="17" spans="2:16" ht="16.5" customHeight="1">
      <c r="B17" s="29" t="s">
        <v>358</v>
      </c>
      <c r="F17" s="30"/>
      <c r="G17" s="32"/>
      <c r="O17" s="16"/>
    </row>
    <row r="18" spans="2:16" ht="16.5" customHeight="1">
      <c r="B18" t="s">
        <v>358</v>
      </c>
      <c r="F18" s="30"/>
      <c r="H18" s="31"/>
      <c r="I18" s="31"/>
      <c r="J18" s="31"/>
      <c r="K18" s="31"/>
      <c r="L18" s="31"/>
      <c r="M18" s="31"/>
      <c r="N18" s="31"/>
      <c r="O18" s="16"/>
    </row>
    <row r="19" spans="2:16" ht="20.100000000000001" customHeight="1">
      <c r="B19" t="s">
        <v>358</v>
      </c>
      <c r="F19" s="30" t="s">
        <v>0</v>
      </c>
      <c r="G19" s="32" t="s">
        <v>0</v>
      </c>
      <c r="H19" s="52" t="str">
        <f>CONCATENATE(H$3-1,"–",RIGHT(H$3,2))</f>
        <v>2022–23</v>
      </c>
      <c r="I19" s="52" t="str">
        <f>CONCATENATE(CONCATENATE(I$3-1,"–",RIGHT(I$3,2)),IF($A$4&gt;6,""," f"))</f>
        <v>2023–24 f</v>
      </c>
      <c r="J19" s="52" t="str">
        <f>CONCATENATE(CONCATENATE(J$3-1,"–",RIGHT(J$3,2))," f")</f>
        <v>2024–25 f</v>
      </c>
      <c r="K19" s="52" t="str">
        <f>CONCATENATE(CONCATENATE(K$3-1,"–",RIGHT(K$3,2))," f")</f>
        <v>2025–26 f</v>
      </c>
      <c r="L19" s="52" t="str">
        <f>CONCATENATE(CONCATENATE(L$3-1,"–",RIGHT(L$3,2))," z")</f>
        <v>2026–27 z</v>
      </c>
      <c r="M19" s="52" t="str">
        <f>CONCATENATE(CONCATENATE(M$3-1,"–",RIGHT(M$3,2))," z")</f>
        <v>2027–28 z</v>
      </c>
      <c r="N19" s="52" t="str">
        <f>CONCATENATE(CONCATENATE(N$3-1,"–",RIGHT(N$3,2))," z")</f>
        <v>2028–29 z</v>
      </c>
      <c r="O19" s="52" t="s">
        <v>184</v>
      </c>
    </row>
    <row r="20" spans="2:16" ht="20.100000000000001" customHeight="1">
      <c r="B20" t="s">
        <v>358</v>
      </c>
      <c r="F20" s="43" t="s">
        <v>22</v>
      </c>
      <c r="G20" s="32" t="s">
        <v>0</v>
      </c>
      <c r="H20" s="35"/>
      <c r="I20" s="35"/>
      <c r="J20" s="35"/>
      <c r="K20" s="35"/>
      <c r="L20" s="35"/>
      <c r="M20" s="35"/>
      <c r="N20" s="35"/>
      <c r="O20" s="16"/>
    </row>
    <row r="21" spans="2:16" ht="20.100000000000001" customHeight="1">
      <c r="B21" s="29" t="s">
        <v>358</v>
      </c>
      <c r="F21" s="30" t="s">
        <v>37</v>
      </c>
      <c r="G21" s="32" t="s">
        <v>36</v>
      </c>
      <c r="H21" s="45">
        <v>300.72718521340897</v>
      </c>
      <c r="I21" s="45">
        <v>292.05248001616599</v>
      </c>
      <c r="J21" s="45">
        <v>291.41861542887801</v>
      </c>
      <c r="K21" s="45">
        <v>311.66746659098197</v>
      </c>
      <c r="L21" s="45">
        <v>325.45134259698398</v>
      </c>
      <c r="M21" s="45">
        <v>323.81216466178802</v>
      </c>
      <c r="N21" s="45">
        <v>323.81216466178802</v>
      </c>
      <c r="O21" s="16">
        <f t="shared" si="1"/>
        <v>1.2402972834274273</v>
      </c>
    </row>
    <row r="22" spans="2:16" ht="27.95" customHeight="1">
      <c r="B22" s="29" t="s">
        <v>358</v>
      </c>
      <c r="F22" s="38" t="s">
        <v>39</v>
      </c>
      <c r="G22" s="32" t="s">
        <v>36</v>
      </c>
      <c r="H22" s="45">
        <v>228.35683592999999</v>
      </c>
      <c r="I22" s="45">
        <v>253.41850582469399</v>
      </c>
      <c r="J22" s="45">
        <v>247.70582311454601</v>
      </c>
      <c r="K22" s="45">
        <v>264.91734660233402</v>
      </c>
      <c r="L22" s="45">
        <v>276.63364120743699</v>
      </c>
      <c r="M22" s="45">
        <v>275.24033996252001</v>
      </c>
      <c r="N22" s="45">
        <v>275.24033996252001</v>
      </c>
      <c r="O22" s="16">
        <f t="shared" si="1"/>
        <v>3.1611903693380627</v>
      </c>
    </row>
    <row r="23" spans="2:16" ht="20.100000000000001" customHeight="1">
      <c r="B23" s="29" t="s">
        <v>358</v>
      </c>
      <c r="F23" s="30" t="s">
        <v>46</v>
      </c>
      <c r="G23" s="32" t="s">
        <v>16</v>
      </c>
      <c r="H23" s="47">
        <v>24405.662744000001</v>
      </c>
      <c r="I23" s="47">
        <v>27850.420985229401</v>
      </c>
      <c r="J23" s="47">
        <v>23164.533017121699</v>
      </c>
      <c r="K23" s="47">
        <v>22997.073484594999</v>
      </c>
      <c r="L23" s="47">
        <v>22502.5234259932</v>
      </c>
      <c r="M23" s="47">
        <v>22057.9065783814</v>
      </c>
      <c r="N23" s="47">
        <v>22528.822277445899</v>
      </c>
      <c r="O23" s="16">
        <f t="shared" si="1"/>
        <v>-1.3248078937088792</v>
      </c>
    </row>
    <row r="24" spans="2:16" ht="20.100000000000001" customHeight="1">
      <c r="B24" s="29" t="s">
        <v>358</v>
      </c>
      <c r="F24" s="30" t="s">
        <v>131</v>
      </c>
      <c r="G24" s="32" t="s">
        <v>16</v>
      </c>
      <c r="H24" s="47">
        <v>25386.447609227798</v>
      </c>
      <c r="I24" s="47">
        <v>27850.420985229401</v>
      </c>
      <c r="J24" s="47">
        <v>22451.805802959901</v>
      </c>
      <c r="K24" s="47">
        <v>21690.534044187101</v>
      </c>
      <c r="L24" s="47">
        <v>20706.420489994998</v>
      </c>
      <c r="M24" s="47">
        <v>19802.2360987215</v>
      </c>
      <c r="N24" s="47">
        <v>19731.702771005901</v>
      </c>
      <c r="O24" s="16">
        <f t="shared" si="1"/>
        <v>-4.1128438002334011</v>
      </c>
    </row>
    <row r="25" spans="2:16" ht="27.95" customHeight="1">
      <c r="B25" t="s">
        <v>358</v>
      </c>
      <c r="F25" s="30" t="s">
        <v>7</v>
      </c>
      <c r="G25" s="32"/>
      <c r="H25" s="47"/>
      <c r="I25" s="47"/>
      <c r="J25" s="47"/>
      <c r="K25" s="47"/>
      <c r="L25" s="47"/>
      <c r="M25" s="47"/>
      <c r="N25" s="47"/>
      <c r="O25" s="16"/>
    </row>
    <row r="26" spans="2:16" ht="20.100000000000001" customHeight="1">
      <c r="B26" s="29" t="s">
        <v>358</v>
      </c>
      <c r="F26" s="30" t="s">
        <v>8</v>
      </c>
      <c r="G26" s="37" t="s">
        <v>40</v>
      </c>
      <c r="H26" s="47">
        <v>2721.48860877367</v>
      </c>
      <c r="I26" s="47">
        <v>3027.6408086547599</v>
      </c>
      <c r="J26" s="47">
        <v>2908.6764405701101</v>
      </c>
      <c r="K26" s="47">
        <v>2701.4940005510698</v>
      </c>
      <c r="L26" s="47">
        <v>2530</v>
      </c>
      <c r="M26" s="47">
        <v>2492.64883333333</v>
      </c>
      <c r="N26" s="47">
        <v>2545.8645573051599</v>
      </c>
      <c r="O26" s="16">
        <f t="shared" si="1"/>
        <v>-1.1056540930392655</v>
      </c>
    </row>
    <row r="27" spans="2:16" ht="20.100000000000001" customHeight="1">
      <c r="B27" s="29" t="s">
        <v>358</v>
      </c>
      <c r="F27" s="30" t="s">
        <v>132</v>
      </c>
      <c r="G27" s="37" t="s">
        <v>40</v>
      </c>
      <c r="H27" s="47">
        <v>2830.8564578000701</v>
      </c>
      <c r="I27" s="47">
        <v>3027.6408086547599</v>
      </c>
      <c r="J27" s="47">
        <v>2819.1821755722599</v>
      </c>
      <c r="K27" s="47">
        <v>2548.0132343087998</v>
      </c>
      <c r="L27" s="47">
        <v>2328.0608511298601</v>
      </c>
      <c r="M27" s="47">
        <v>2237.7472918144599</v>
      </c>
      <c r="N27" s="47">
        <v>2229.7766887829998</v>
      </c>
      <c r="O27" s="16">
        <f t="shared" si="1"/>
        <v>-3.8998821199161648</v>
      </c>
    </row>
    <row r="28" spans="2:16" ht="9.9499999999999993" customHeight="1">
      <c r="B28" t="s">
        <v>358</v>
      </c>
      <c r="F28" s="30"/>
      <c r="O28" s="16"/>
    </row>
    <row r="29" spans="2:16" ht="9.9499999999999993" customHeight="1">
      <c r="B29" t="s">
        <v>358</v>
      </c>
      <c r="F29" s="30"/>
      <c r="O29" s="16"/>
      <c r="P29" s="29" t="s">
        <v>358</v>
      </c>
    </row>
    <row r="30" spans="2:16" ht="18" customHeight="1">
      <c r="B30" t="s">
        <v>358</v>
      </c>
      <c r="F30" s="16" t="s">
        <v>119</v>
      </c>
    </row>
    <row r="31" spans="2:16" ht="18" customHeight="1">
      <c r="B31" t="s">
        <v>358</v>
      </c>
      <c r="E31" s="39" t="s">
        <v>254</v>
      </c>
      <c r="F31" s="42" t="s">
        <v>334</v>
      </c>
    </row>
    <row r="32" spans="2:16" ht="18" customHeight="1">
      <c r="B32" t="s">
        <v>358</v>
      </c>
      <c r="E32" s="39" t="s">
        <v>255</v>
      </c>
      <c r="F32" s="42" t="s">
        <v>307</v>
      </c>
    </row>
    <row r="33" spans="2:16" ht="18" customHeight="1">
      <c r="B33" t="s">
        <v>358</v>
      </c>
      <c r="E33" s="39" t="s">
        <v>256</v>
      </c>
      <c r="F33" s="24" t="s">
        <v>336</v>
      </c>
    </row>
    <row r="34" spans="2:16" ht="18" customHeight="1">
      <c r="B34" t="s">
        <v>358</v>
      </c>
      <c r="E34" s="39" t="s">
        <v>257</v>
      </c>
      <c r="F34" s="42" t="s">
        <v>278</v>
      </c>
      <c r="G34" s="37" t="s">
        <v>0</v>
      </c>
    </row>
    <row r="35" spans="2:16" ht="18" customHeight="1">
      <c r="B35" t="s">
        <v>358</v>
      </c>
      <c r="E35" s="39" t="s">
        <v>260</v>
      </c>
      <c r="F35" s="42" t="s">
        <v>296</v>
      </c>
      <c r="G35" s="37" t="s">
        <v>0</v>
      </c>
      <c r="P35" s="29" t="s">
        <v>358</v>
      </c>
    </row>
    <row r="36" spans="2:16" ht="18" customHeight="1">
      <c r="B36" t="s">
        <v>358</v>
      </c>
      <c r="E36" s="39" t="s">
        <v>261</v>
      </c>
      <c r="F36" s="29" t="str">
        <f>CONCATENATE("Compound annual growth rate (per cent), for the period from ", $A$3 - 1, " to ", $A$3+ 5, " or for the equivalent financial years.")</f>
        <v>Compound annual growth rate (per cent), for the period from 2023 to 2029 or for the equivalent financial years.</v>
      </c>
    </row>
    <row r="37" spans="2:16" ht="18" customHeight="1">
      <c r="B37" t="s">
        <v>358</v>
      </c>
      <c r="E37" s="39" t="s">
        <v>262</v>
      </c>
      <c r="F37" s="42" t="s">
        <v>298</v>
      </c>
    </row>
    <row r="38" spans="2:16" ht="18" customHeight="1">
      <c r="F38" s="29" t="s">
        <v>329</v>
      </c>
    </row>
  </sheetData>
  <pageMargins left="0" right="0" top="0" bottom="0" header="0" footer="0"/>
  <pageSetup paperSize="9" scale="73" fitToHeight="0"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53"/>
  <sheetViews>
    <sheetView zoomScale="90" zoomScaleNormal="90" workbookViewId="0">
      <selection activeCell="H10" sqref="H10"/>
    </sheetView>
  </sheetViews>
  <sheetFormatPr defaultColWidth="10.625" defaultRowHeight="14.25"/>
  <cols>
    <col min="1" max="1" width="14.625" customWidth="1"/>
    <col min="4" max="4" width="11.625" customWidth="1"/>
    <col min="5" max="5" width="1.875" customWidth="1"/>
    <col min="6" max="6" width="27.625" customWidth="1"/>
    <col min="7" max="7" width="9.6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1"/>
      <c r="G4" s="132"/>
      <c r="H4" s="132"/>
      <c r="I4" s="132"/>
      <c r="J4" s="132"/>
      <c r="K4" s="132"/>
      <c r="L4" s="132"/>
      <c r="M4" s="132"/>
      <c r="N4" s="132"/>
      <c r="O4" s="133"/>
      <c r="P4" s="132"/>
    </row>
    <row r="5" spans="1:16" ht="18" customHeight="1">
      <c r="B5" t="s">
        <v>358</v>
      </c>
      <c r="F5" s="30"/>
    </row>
    <row r="6" spans="1:16" ht="18" customHeight="1">
      <c r="B6" t="s">
        <v>358</v>
      </c>
      <c r="D6" s="29" t="s">
        <v>358</v>
      </c>
      <c r="F6" s="12" t="s">
        <v>75</v>
      </c>
      <c r="G6" s="62"/>
      <c r="H6" s="62" t="s">
        <v>0</v>
      </c>
      <c r="I6" s="62"/>
      <c r="J6" s="62"/>
      <c r="K6" s="62"/>
      <c r="L6" s="62"/>
      <c r="M6" s="62"/>
      <c r="N6" s="62"/>
    </row>
    <row r="7" spans="1:16" ht="20.100000000000001" customHeight="1">
      <c r="B7" t="s">
        <v>358</v>
      </c>
      <c r="D7" s="29" t="s">
        <v>358</v>
      </c>
      <c r="F7" s="51"/>
      <c r="G7" s="52" t="s">
        <v>1</v>
      </c>
      <c r="H7" s="135" t="str">
        <f>CONCATENATE(H3)</f>
        <v>2023</v>
      </c>
      <c r="I7" s="52" t="str">
        <f>CONCATENATE(I3," f")</f>
        <v>2024 f</v>
      </c>
      <c r="J7" s="52" t="str">
        <f>CONCATENATE(J3," f")</f>
        <v>2025 f</v>
      </c>
      <c r="K7" s="52" t="str">
        <f>CONCATENATE(K3," f")</f>
        <v>2026 f</v>
      </c>
      <c r="L7" s="52" t="str">
        <f>CONCATENATE(L3," z")</f>
        <v>2027 z</v>
      </c>
      <c r="M7" s="52" t="str">
        <f>CONCATENATE(M3," z")</f>
        <v>2028 z</v>
      </c>
      <c r="N7" s="52" t="str">
        <f>CONCATENATE(N3," z")</f>
        <v>2029 z</v>
      </c>
      <c r="O7" s="41" t="s">
        <v>184</v>
      </c>
    </row>
    <row r="8" spans="1:16" ht="27.95" customHeight="1">
      <c r="B8" t="s">
        <v>358</v>
      </c>
      <c r="F8" s="79" t="s">
        <v>30</v>
      </c>
      <c r="G8" s="32"/>
      <c r="H8" s="35"/>
      <c r="I8" s="35"/>
      <c r="J8" s="35"/>
      <c r="K8" s="35"/>
      <c r="L8" s="35"/>
      <c r="M8" s="35"/>
      <c r="N8" s="35"/>
    </row>
    <row r="9" spans="1:16" ht="20.100000000000001" customHeight="1">
      <c r="B9" t="s">
        <v>358</v>
      </c>
      <c r="F9" s="30" t="s">
        <v>31</v>
      </c>
      <c r="G9" s="32"/>
      <c r="H9" s="35"/>
      <c r="I9" s="35"/>
      <c r="J9" s="35"/>
      <c r="K9" s="35"/>
      <c r="L9" s="35"/>
      <c r="M9" s="35"/>
      <c r="N9" s="35"/>
    </row>
    <row r="10" spans="1:16" ht="20.100000000000001" customHeight="1">
      <c r="B10" s="29" t="s">
        <v>358</v>
      </c>
      <c r="F10" s="30" t="s">
        <v>2</v>
      </c>
      <c r="G10" s="32" t="s">
        <v>4</v>
      </c>
      <c r="H10" s="47">
        <v>69759</v>
      </c>
      <c r="I10" s="47">
        <v>70963</v>
      </c>
      <c r="J10" s="47">
        <v>72409</v>
      </c>
      <c r="K10" s="47">
        <v>73521</v>
      </c>
      <c r="L10" s="47">
        <v>74705</v>
      </c>
      <c r="M10" s="47">
        <v>75060</v>
      </c>
      <c r="N10" s="47">
        <v>75487</v>
      </c>
      <c r="O10" s="16">
        <f>((N10/H10)^(1/6)-1)*100</f>
        <v>1.3239207628701122</v>
      </c>
    </row>
    <row r="11" spans="1:16" ht="27.95" customHeight="1">
      <c r="B11" s="29" t="s">
        <v>358</v>
      </c>
      <c r="F11" s="30" t="s">
        <v>6</v>
      </c>
      <c r="G11" s="32" t="s">
        <v>4</v>
      </c>
      <c r="H11" s="47">
        <v>69184</v>
      </c>
      <c r="I11" s="47">
        <v>72326</v>
      </c>
      <c r="J11" s="47">
        <v>75156</v>
      </c>
      <c r="K11" s="47">
        <v>77738</v>
      </c>
      <c r="L11" s="47">
        <v>80272</v>
      </c>
      <c r="M11" s="47">
        <v>83355</v>
      </c>
      <c r="N11" s="47">
        <v>86526</v>
      </c>
      <c r="O11" s="16">
        <f t="shared" ref="O11" si="1">((N11/H11)^(1/6)-1)*100</f>
        <v>3.7982806767322241</v>
      </c>
    </row>
    <row r="12" spans="1:16" ht="27.95" customHeight="1">
      <c r="B12" t="s">
        <v>358</v>
      </c>
      <c r="F12" s="30" t="s">
        <v>32</v>
      </c>
      <c r="G12" s="37" t="s">
        <v>0</v>
      </c>
      <c r="H12" s="45"/>
      <c r="I12" s="45"/>
      <c r="J12" s="45"/>
      <c r="K12" s="45"/>
      <c r="L12" s="45"/>
      <c r="M12" s="45"/>
      <c r="N12" s="45"/>
    </row>
    <row r="13" spans="1:16" ht="20.100000000000001" customHeight="1">
      <c r="B13" t="s">
        <v>358</v>
      </c>
      <c r="F13" s="30" t="s">
        <v>133</v>
      </c>
      <c r="G13" s="32"/>
      <c r="H13" s="45"/>
      <c r="I13" s="45"/>
      <c r="J13" s="45"/>
      <c r="K13" s="45"/>
      <c r="L13" s="45"/>
      <c r="M13" s="45"/>
      <c r="N13" s="45"/>
    </row>
    <row r="14" spans="1:16" ht="20.100000000000001" customHeight="1">
      <c r="B14" s="29" t="s">
        <v>358</v>
      </c>
      <c r="F14" s="30" t="s">
        <v>8</v>
      </c>
      <c r="G14" s="32" t="s">
        <v>9</v>
      </c>
      <c r="H14" s="47">
        <v>2249.4392795138901</v>
      </c>
      <c r="I14" s="47">
        <v>2298.75</v>
      </c>
      <c r="J14" s="47">
        <v>2470</v>
      </c>
      <c r="K14" s="47">
        <v>2580</v>
      </c>
      <c r="L14" s="47">
        <v>2643.67446148</v>
      </c>
      <c r="M14" s="47">
        <v>2662.6314567989498</v>
      </c>
      <c r="N14" s="47">
        <v>2700.0585248655698</v>
      </c>
      <c r="O14" s="16">
        <f t="shared" ref="O14:O15" si="2">((N14/H14)^(1/6)-1)*100</f>
        <v>3.0899867679981208</v>
      </c>
    </row>
    <row r="15" spans="1:16" ht="20.100000000000001" customHeight="1">
      <c r="B15" s="29" t="s">
        <v>358</v>
      </c>
      <c r="F15" s="30" t="s">
        <v>128</v>
      </c>
      <c r="G15" s="37" t="s">
        <v>9</v>
      </c>
      <c r="H15" s="47">
        <v>2298.9269436631898</v>
      </c>
      <c r="I15" s="47">
        <v>2298.75</v>
      </c>
      <c r="J15" s="47">
        <v>2423.9450441609401</v>
      </c>
      <c r="K15" s="47">
        <v>2478.4827113102201</v>
      </c>
      <c r="L15" s="47">
        <v>2488.4884021383</v>
      </c>
      <c r="M15" s="47">
        <v>2454.01304669306</v>
      </c>
      <c r="N15" s="47">
        <v>2436.56022266326</v>
      </c>
      <c r="O15" s="16">
        <f t="shared" si="2"/>
        <v>0.9737913241382179</v>
      </c>
    </row>
    <row r="16" spans="1:16" ht="27.95" customHeight="1">
      <c r="B16" t="s">
        <v>358</v>
      </c>
      <c r="F16" s="30" t="s">
        <v>90</v>
      </c>
      <c r="G16" s="32" t="s">
        <v>0</v>
      </c>
      <c r="H16" s="45"/>
      <c r="I16" s="45"/>
      <c r="J16" s="45"/>
      <c r="K16" s="45"/>
      <c r="L16" s="45"/>
      <c r="M16" s="45"/>
      <c r="N16" s="45"/>
    </row>
    <row r="17" spans="1:16" ht="20.100000000000001" customHeight="1">
      <c r="B17" s="29" t="s">
        <v>358</v>
      </c>
      <c r="F17" s="30" t="s">
        <v>8</v>
      </c>
      <c r="G17" s="32" t="s">
        <v>9</v>
      </c>
      <c r="H17" s="31">
        <v>344.46050000000002</v>
      </c>
      <c r="I17" s="31">
        <v>346.86935425050001</v>
      </c>
      <c r="J17" s="31">
        <v>351.89207339431903</v>
      </c>
      <c r="K17" s="31">
        <v>354.97289601203897</v>
      </c>
      <c r="L17" s="31">
        <v>360.26428469432898</v>
      </c>
      <c r="M17" s="31">
        <v>364.76094136334098</v>
      </c>
      <c r="N17" s="31">
        <v>375.21728636896597</v>
      </c>
      <c r="O17" s="16">
        <f t="shared" ref="O17:O18" si="3">((N17/H17)^(1/6)-1)*100</f>
        <v>1.4356387709633545</v>
      </c>
    </row>
    <row r="18" spans="1:16" ht="21.75" customHeight="1">
      <c r="B18" s="29" t="s">
        <v>358</v>
      </c>
      <c r="F18" s="38" t="s">
        <v>128</v>
      </c>
      <c r="G18" s="32" t="s">
        <v>9</v>
      </c>
      <c r="H18" s="31">
        <v>352.03863100000001</v>
      </c>
      <c r="I18" s="31">
        <v>346.86935425050001</v>
      </c>
      <c r="J18" s="31">
        <v>345.33078841444501</v>
      </c>
      <c r="K18" s="31">
        <v>341.00549835254202</v>
      </c>
      <c r="L18" s="31">
        <v>339.11644842406002</v>
      </c>
      <c r="M18" s="31">
        <v>336.18175235780399</v>
      </c>
      <c r="N18" s="31">
        <v>338.59988826271501</v>
      </c>
      <c r="O18" s="16">
        <f t="shared" si="3"/>
        <v>-0.64659679179034368</v>
      </c>
    </row>
    <row r="19" spans="1:16" ht="21.75" customHeight="1">
      <c r="B19" t="s">
        <v>358</v>
      </c>
      <c r="F19" s="38"/>
      <c r="G19" s="32"/>
      <c r="H19" s="35"/>
      <c r="I19" s="35"/>
      <c r="J19" s="35"/>
      <c r="K19" s="35"/>
      <c r="L19" s="35"/>
      <c r="M19" s="35"/>
      <c r="N19" s="35"/>
    </row>
    <row r="20" spans="1:16" ht="21.75" customHeight="1">
      <c r="A20" s="132"/>
      <c r="B20" s="129" t="s">
        <v>358</v>
      </c>
      <c r="C20" s="132"/>
      <c r="D20" s="132"/>
      <c r="E20" s="132"/>
      <c r="F20" s="131"/>
      <c r="G20" s="143"/>
      <c r="H20" s="133" t="str">
        <f t="shared" ref="H20:N20" si="4">CONCATENATE(H$3-1,"-",RIGHT(H$3,2))</f>
        <v>2022-23</v>
      </c>
      <c r="I20" s="133" t="str">
        <f t="shared" si="4"/>
        <v>2023-24</v>
      </c>
      <c r="J20" s="133" t="str">
        <f t="shared" si="4"/>
        <v>2024-25</v>
      </c>
      <c r="K20" s="133" t="str">
        <f t="shared" si="4"/>
        <v>2025-26</v>
      </c>
      <c r="L20" s="133" t="str">
        <f t="shared" si="4"/>
        <v>2026-27</v>
      </c>
      <c r="M20" s="133" t="str">
        <f t="shared" si="4"/>
        <v>2027-28</v>
      </c>
      <c r="N20" s="133" t="str">
        <f t="shared" si="4"/>
        <v>2028-29</v>
      </c>
      <c r="O20" s="132"/>
      <c r="P20" s="132"/>
    </row>
    <row r="21" spans="1:16" ht="21.75" customHeight="1">
      <c r="B21" s="29" t="s">
        <v>358</v>
      </c>
      <c r="F21" s="30"/>
      <c r="G21" s="32"/>
    </row>
    <row r="22" spans="1:16" ht="21.75" customHeight="1">
      <c r="B22" t="s">
        <v>358</v>
      </c>
      <c r="F22" s="30"/>
      <c r="G22" s="32"/>
      <c r="H22" s="31"/>
      <c r="I22" s="31"/>
      <c r="J22" s="31"/>
      <c r="K22" s="31"/>
      <c r="L22" s="31"/>
      <c r="M22" s="31"/>
      <c r="N22" s="31"/>
    </row>
    <row r="23" spans="1:16" ht="20.100000000000001" customHeight="1">
      <c r="B23" t="s">
        <v>358</v>
      </c>
      <c r="F23" s="30"/>
      <c r="H23" s="52" t="str">
        <f>CONCATENATE(H$3-1,"–",RIGHT(H$3,2))</f>
        <v>2022–23</v>
      </c>
      <c r="I23" s="52" t="str">
        <f>CONCATENATE(CONCATENATE(I$3-1,"–",RIGHT(I$3,2)),IF($A$4&gt;6,""," f"))</f>
        <v>2023–24 f</v>
      </c>
      <c r="J23" s="52" t="str">
        <f>CONCATENATE(CONCATENATE(J$3-1,"–",RIGHT(J$3,2))," f")</f>
        <v>2024–25 f</v>
      </c>
      <c r="K23" s="52" t="str">
        <f>CONCATENATE(CONCATENATE(K$3-1,"–",RIGHT(K$3,2))," f")</f>
        <v>2025–26 f</v>
      </c>
      <c r="L23" s="52" t="str">
        <f>CONCATENATE(CONCATENATE(L$3-1,"–",RIGHT(L$3,2))," z")</f>
        <v>2026–27 z</v>
      </c>
      <c r="M23" s="52" t="str">
        <f>CONCATENATE(CONCATENATE(M$3-1,"–",RIGHT(M$3,2))," z")</f>
        <v>2027–28 z</v>
      </c>
      <c r="N23" s="52" t="str">
        <f>CONCATENATE(CONCATENATE(N$3-1,"–",RIGHT(N$3,2))," z")</f>
        <v>2028–29 z</v>
      </c>
      <c r="O23" s="52" t="s">
        <v>184</v>
      </c>
    </row>
    <row r="24" spans="1:16" ht="20.100000000000001" customHeight="1">
      <c r="B24" t="s">
        <v>358</v>
      </c>
      <c r="F24" s="43" t="s">
        <v>22</v>
      </c>
      <c r="H24" s="45"/>
      <c r="I24" s="45"/>
      <c r="J24" s="45"/>
      <c r="K24" s="45"/>
      <c r="L24" s="45"/>
      <c r="M24" s="45"/>
      <c r="N24" s="45"/>
    </row>
    <row r="25" spans="1:16" ht="20.100000000000001" customHeight="1">
      <c r="B25" t="s">
        <v>358</v>
      </c>
      <c r="F25" s="30" t="s">
        <v>2</v>
      </c>
      <c r="H25" s="45"/>
      <c r="I25" s="45"/>
      <c r="J25" s="45"/>
      <c r="K25" s="45"/>
      <c r="L25" s="45"/>
      <c r="M25" s="45"/>
      <c r="N25" s="45"/>
    </row>
    <row r="26" spans="1:16" ht="20.100000000000001" customHeight="1">
      <c r="B26" s="29" t="s">
        <v>358</v>
      </c>
      <c r="F26" s="30" t="s">
        <v>31</v>
      </c>
      <c r="G26" s="37" t="s">
        <v>4</v>
      </c>
      <c r="H26" s="47">
        <v>1531.7254005070699</v>
      </c>
      <c r="I26" s="47">
        <v>1570.7659699999999</v>
      </c>
      <c r="J26" s="47">
        <v>1561</v>
      </c>
      <c r="K26" s="47">
        <v>1561</v>
      </c>
      <c r="L26" s="47">
        <v>1561</v>
      </c>
      <c r="M26" s="47">
        <v>1561</v>
      </c>
      <c r="N26" s="47">
        <v>1561</v>
      </c>
      <c r="O26" s="16">
        <f t="shared" ref="O26:O28" si="5">((N26/H26)^(1/6)-1)*100</f>
        <v>0.31602880089169894</v>
      </c>
    </row>
    <row r="27" spans="1:16" ht="20.100000000000001" customHeight="1">
      <c r="B27" s="29" t="s">
        <v>358</v>
      </c>
      <c r="F27" s="30" t="s">
        <v>33</v>
      </c>
      <c r="G27" s="37" t="s">
        <v>4</v>
      </c>
      <c r="H27" s="47">
        <v>18970.706971</v>
      </c>
      <c r="I27" s="47">
        <v>19444.8639</v>
      </c>
      <c r="J27" s="47">
        <v>18484</v>
      </c>
      <c r="K27" s="47">
        <v>18564</v>
      </c>
      <c r="L27" s="47">
        <v>18564</v>
      </c>
      <c r="M27" s="47">
        <v>18564</v>
      </c>
      <c r="N27" s="47">
        <v>18564</v>
      </c>
      <c r="O27" s="16">
        <f t="shared" si="5"/>
        <v>-0.36054562968452775</v>
      </c>
    </row>
    <row r="28" spans="1:16" ht="20.100000000000001" customHeight="1">
      <c r="B28" s="29" t="s">
        <v>358</v>
      </c>
      <c r="F28" s="30" t="s">
        <v>34</v>
      </c>
      <c r="G28" s="37" t="s">
        <v>35</v>
      </c>
      <c r="H28" s="59">
        <v>98.5</v>
      </c>
      <c r="I28" s="59">
        <v>107.8</v>
      </c>
      <c r="J28" s="59">
        <v>106.4</v>
      </c>
      <c r="K28" s="59">
        <v>106.4</v>
      </c>
      <c r="L28" s="59">
        <v>122.36799999999999</v>
      </c>
      <c r="M28" s="59">
        <v>122.36799999999999</v>
      </c>
      <c r="N28" s="59">
        <v>122.4</v>
      </c>
      <c r="O28" s="16">
        <f t="shared" si="5"/>
        <v>3.6869734438053747</v>
      </c>
    </row>
    <row r="29" spans="1:16" ht="27.95" customHeight="1">
      <c r="B29" t="s">
        <v>358</v>
      </c>
      <c r="F29" s="42" t="s">
        <v>6</v>
      </c>
      <c r="H29" s="45"/>
      <c r="I29" s="45"/>
      <c r="J29" s="45"/>
      <c r="K29" s="45"/>
      <c r="L29" s="45"/>
      <c r="M29" s="45"/>
      <c r="N29" s="45"/>
      <c r="O29" s="16"/>
    </row>
    <row r="30" spans="1:16" ht="20.100000000000001" customHeight="1">
      <c r="B30" s="29" t="s">
        <v>358</v>
      </c>
      <c r="F30" s="42" t="s">
        <v>31</v>
      </c>
      <c r="G30" s="37" t="s">
        <v>4</v>
      </c>
      <c r="H30" s="45">
        <v>151.15121874606999</v>
      </c>
      <c r="I30" s="45">
        <v>150.32885852199999</v>
      </c>
      <c r="J30" s="45">
        <v>126.05</v>
      </c>
      <c r="K30" s="45">
        <v>126.05</v>
      </c>
      <c r="L30" s="45">
        <v>126.05</v>
      </c>
      <c r="M30" s="45">
        <v>126.05</v>
      </c>
      <c r="N30" s="45">
        <v>126.05</v>
      </c>
      <c r="O30" s="16">
        <f>((N30/H30)^(1/6)-1)*100</f>
        <v>-2.9813561957350521</v>
      </c>
    </row>
    <row r="31" spans="1:16" ht="27.95" customHeight="1">
      <c r="B31" t="s">
        <v>358</v>
      </c>
      <c r="F31" s="42" t="s">
        <v>13</v>
      </c>
      <c r="H31" s="45"/>
      <c r="I31" s="45"/>
      <c r="J31" s="45"/>
      <c r="K31" s="45"/>
      <c r="L31" s="45"/>
      <c r="M31" s="45"/>
      <c r="N31" s="45"/>
    </row>
    <row r="32" spans="1:16" ht="20.100000000000001" customHeight="1">
      <c r="B32" s="29" t="s">
        <v>358</v>
      </c>
      <c r="F32" s="42" t="s">
        <v>31</v>
      </c>
      <c r="G32" s="37" t="s">
        <v>4</v>
      </c>
      <c r="H32" s="47">
        <v>1440.2476559199999</v>
      </c>
      <c r="I32" s="47">
        <v>1461.5753669000001</v>
      </c>
      <c r="J32" s="47">
        <v>1482.95</v>
      </c>
      <c r="K32" s="47">
        <v>1482.95</v>
      </c>
      <c r="L32" s="47">
        <v>1482.95</v>
      </c>
      <c r="M32" s="47">
        <v>1482.95</v>
      </c>
      <c r="N32" s="47">
        <v>1482.95</v>
      </c>
      <c r="O32" s="16">
        <f t="shared" ref="O32:O40" si="6">((N32/H32)^(1/6)-1)*100</f>
        <v>0.48815871566787461</v>
      </c>
    </row>
    <row r="33" spans="2:16" ht="20.100000000000001" customHeight="1">
      <c r="B33" s="29" t="s">
        <v>358</v>
      </c>
      <c r="F33" s="42" t="s">
        <v>46</v>
      </c>
      <c r="G33" s="37" t="s">
        <v>16</v>
      </c>
      <c r="H33" s="47">
        <v>5281.4405729999999</v>
      </c>
      <c r="I33" s="47">
        <v>4985.3947915856997</v>
      </c>
      <c r="J33" s="47">
        <v>5107.7198625845003</v>
      </c>
      <c r="K33" s="47">
        <v>5128.6290979631603</v>
      </c>
      <c r="L33" s="47">
        <v>5168.4366580000096</v>
      </c>
      <c r="M33" s="47">
        <v>5247.8440045786301</v>
      </c>
      <c r="N33" s="47">
        <v>5308.8506011694599</v>
      </c>
      <c r="O33" s="16">
        <f t="shared" si="6"/>
        <v>8.6311497492541633E-2</v>
      </c>
    </row>
    <row r="34" spans="2:16" ht="20.100000000000001" customHeight="1">
      <c r="B34" s="29" t="s">
        <v>358</v>
      </c>
      <c r="F34" s="42" t="s">
        <v>131</v>
      </c>
      <c r="G34" s="37" t="s">
        <v>16</v>
      </c>
      <c r="H34" s="47">
        <v>5493.6846343448096</v>
      </c>
      <c r="I34" s="47">
        <v>4985.3947915856997</v>
      </c>
      <c r="J34" s="47">
        <v>4950.5653477195601</v>
      </c>
      <c r="K34" s="47">
        <v>4837.2547978287803</v>
      </c>
      <c r="L34" s="47">
        <v>4755.9031798554397</v>
      </c>
      <c r="M34" s="47">
        <v>4711.1925884107004</v>
      </c>
      <c r="N34" s="47">
        <v>4649.7176296171601</v>
      </c>
      <c r="O34" s="16">
        <f t="shared" si="6"/>
        <v>-2.7415951348656709</v>
      </c>
    </row>
    <row r="35" spans="2:16" ht="27.95" customHeight="1">
      <c r="B35" s="29" t="s">
        <v>358</v>
      </c>
      <c r="F35" s="42" t="s">
        <v>33</v>
      </c>
      <c r="G35" s="37" t="s">
        <v>4</v>
      </c>
      <c r="H35" s="47">
        <v>16566.417539999999</v>
      </c>
      <c r="I35" s="47">
        <v>17165.021530000002</v>
      </c>
      <c r="J35" s="47">
        <v>16635.599999999999</v>
      </c>
      <c r="K35" s="47">
        <v>16707.599999999999</v>
      </c>
      <c r="L35" s="47">
        <v>16707.599999999999</v>
      </c>
      <c r="M35" s="47">
        <v>16707.599999999999</v>
      </c>
      <c r="N35" s="47">
        <v>16707.599999999999</v>
      </c>
      <c r="O35" s="16">
        <f t="shared" si="6"/>
        <v>0.14153505355967155</v>
      </c>
    </row>
    <row r="36" spans="2:16" ht="20.100000000000001" customHeight="1">
      <c r="B36" s="29" t="s">
        <v>358</v>
      </c>
      <c r="F36" s="42" t="s">
        <v>46</v>
      </c>
      <c r="G36" s="37" t="s">
        <v>16</v>
      </c>
      <c r="H36" s="47">
        <v>8307.6539940000002</v>
      </c>
      <c r="I36" s="47">
        <v>8826.0419483576698</v>
      </c>
      <c r="J36" s="47">
        <v>8370.0105805018502</v>
      </c>
      <c r="K36" s="47">
        <v>8023.1224109156901</v>
      </c>
      <c r="L36" s="47">
        <v>7976.7849127610698</v>
      </c>
      <c r="M36" s="47">
        <v>8064.0520280205801</v>
      </c>
      <c r="N36" s="47">
        <v>8215.0166397788198</v>
      </c>
      <c r="O36" s="16">
        <f t="shared" si="6"/>
        <v>-0.18671681345996394</v>
      </c>
    </row>
    <row r="37" spans="2:16" ht="20.100000000000001" customHeight="1">
      <c r="B37" s="29" t="s">
        <v>358</v>
      </c>
      <c r="F37" s="42" t="s">
        <v>131</v>
      </c>
      <c r="G37" s="37" t="s">
        <v>16</v>
      </c>
      <c r="H37" s="47">
        <v>8641.5118116848498</v>
      </c>
      <c r="I37" s="47">
        <v>8826.0419483576698</v>
      </c>
      <c r="J37" s="47">
        <v>8112.4817833904899</v>
      </c>
      <c r="K37" s="47">
        <v>7567.3024183368898</v>
      </c>
      <c r="L37" s="47">
        <v>7340.0951277795903</v>
      </c>
      <c r="M37" s="47">
        <v>7239.4114828532001</v>
      </c>
      <c r="N37" s="47">
        <v>7195.0617124474302</v>
      </c>
      <c r="O37" s="16">
        <f t="shared" si="6"/>
        <v>-3.0069091184560137</v>
      </c>
    </row>
    <row r="38" spans="2:16" ht="27.95" customHeight="1">
      <c r="B38" s="29" t="s">
        <v>358</v>
      </c>
      <c r="F38" s="42" t="s">
        <v>34</v>
      </c>
      <c r="G38" s="37" t="s">
        <v>4</v>
      </c>
      <c r="H38" s="47">
        <v>34112.927580000003</v>
      </c>
      <c r="I38" s="47">
        <v>43236.876640000002</v>
      </c>
      <c r="J38" s="47">
        <v>43491.839999999997</v>
      </c>
      <c r="K38" s="47">
        <v>43491.839999999997</v>
      </c>
      <c r="L38" s="47">
        <v>50211.839999999997</v>
      </c>
      <c r="M38" s="47">
        <v>50211.839999999997</v>
      </c>
      <c r="N38" s="47">
        <v>50211.839999999997</v>
      </c>
      <c r="O38" s="16">
        <f t="shared" si="6"/>
        <v>6.6549927859156144</v>
      </c>
    </row>
    <row r="39" spans="2:16" ht="20.100000000000001" customHeight="1">
      <c r="B39" s="29" t="s">
        <v>358</v>
      </c>
      <c r="F39" s="42" t="s">
        <v>46</v>
      </c>
      <c r="G39" s="37" t="s">
        <v>16</v>
      </c>
      <c r="H39" s="47">
        <v>1283.6383719999999</v>
      </c>
      <c r="I39" s="47">
        <v>1986.6329205320801</v>
      </c>
      <c r="J39" s="47">
        <v>1986.83857149035</v>
      </c>
      <c r="K39" s="47">
        <v>2022.60166577718</v>
      </c>
      <c r="L39" s="47">
        <v>2517.2565295316199</v>
      </c>
      <c r="M39" s="47">
        <v>2517.2565295316199</v>
      </c>
      <c r="N39" s="47">
        <v>2517.2565295316199</v>
      </c>
      <c r="O39" s="16">
        <f t="shared" si="6"/>
        <v>11.878713607353774</v>
      </c>
    </row>
    <row r="40" spans="2:16" ht="20.100000000000001" customHeight="1">
      <c r="B40" s="29" t="s">
        <v>358</v>
      </c>
      <c r="F40" s="42" t="s">
        <v>131</v>
      </c>
      <c r="G40" s="37" t="s">
        <v>16</v>
      </c>
      <c r="H40" s="47">
        <v>1335.2236577957201</v>
      </c>
      <c r="I40" s="47">
        <v>1986.6329205320801</v>
      </c>
      <c r="J40" s="47">
        <v>1925.7074483634201</v>
      </c>
      <c r="K40" s="47">
        <v>1907.6910076735301</v>
      </c>
      <c r="L40" s="47">
        <v>2316.3345370172301</v>
      </c>
      <c r="M40" s="47">
        <v>2259.8385726997299</v>
      </c>
      <c r="N40" s="47">
        <v>2204.7205587314402</v>
      </c>
      <c r="O40" s="16">
        <f t="shared" si="6"/>
        <v>8.7176164353607088</v>
      </c>
    </row>
    <row r="41" spans="2:16" ht="27.95" customHeight="1">
      <c r="B41" t="s">
        <v>358</v>
      </c>
      <c r="F41" s="42" t="s">
        <v>15</v>
      </c>
      <c r="H41" s="47"/>
      <c r="I41" s="47"/>
      <c r="J41" s="47"/>
      <c r="K41" s="47"/>
      <c r="L41" s="47"/>
      <c r="M41" s="47"/>
      <c r="N41" s="47"/>
    </row>
    <row r="42" spans="2:16" ht="20.100000000000001" customHeight="1">
      <c r="B42" s="29" t="s">
        <v>358</v>
      </c>
      <c r="F42" s="42" t="s">
        <v>8</v>
      </c>
      <c r="G42" s="37" t="s">
        <v>16</v>
      </c>
      <c r="H42" s="47">
        <v>16005</v>
      </c>
      <c r="I42" s="47">
        <v>16967</v>
      </c>
      <c r="J42" s="47">
        <v>17535</v>
      </c>
      <c r="K42" s="47">
        <v>18061</v>
      </c>
      <c r="L42" s="47">
        <v>18511</v>
      </c>
      <c r="M42" s="47">
        <v>18678</v>
      </c>
      <c r="N42" s="47">
        <v>18890</v>
      </c>
      <c r="O42" s="16">
        <f t="shared" ref="O42:O43" si="7">((N42/H42)^(1/6)-1)*100</f>
        <v>2.8006940033222127</v>
      </c>
    </row>
    <row r="43" spans="2:16" ht="20.100000000000001" customHeight="1">
      <c r="B43" s="29" t="s">
        <v>358</v>
      </c>
      <c r="F43" s="42" t="s">
        <v>132</v>
      </c>
      <c r="G43" s="37" t="s">
        <v>16</v>
      </c>
      <c r="H43" s="47">
        <v>16649</v>
      </c>
      <c r="I43" s="47">
        <v>16967</v>
      </c>
      <c r="J43" s="47">
        <v>16996</v>
      </c>
      <c r="K43" s="47">
        <v>17035</v>
      </c>
      <c r="L43" s="47">
        <v>17033</v>
      </c>
      <c r="M43" s="47">
        <v>16768</v>
      </c>
      <c r="N43" s="47">
        <v>16544</v>
      </c>
      <c r="O43" s="16">
        <f t="shared" si="7"/>
        <v>-0.10538869767512393</v>
      </c>
    </row>
    <row r="44" spans="2:16" ht="9.9499999999999993" customHeight="1">
      <c r="B44" t="s">
        <v>358</v>
      </c>
      <c r="G44" s="37" t="s">
        <v>0</v>
      </c>
      <c r="O44" s="63"/>
    </row>
    <row r="45" spans="2:16" ht="9.9499999999999993" customHeight="1">
      <c r="B45" t="s">
        <v>358</v>
      </c>
      <c r="G45" s="37" t="s">
        <v>0</v>
      </c>
      <c r="O45" s="37"/>
      <c r="P45" s="29" t="s">
        <v>358</v>
      </c>
    </row>
    <row r="46" spans="2:16" ht="18" customHeight="1">
      <c r="B46" t="s">
        <v>358</v>
      </c>
      <c r="F46" s="16" t="s">
        <v>119</v>
      </c>
    </row>
    <row r="47" spans="2:16" ht="18" customHeight="1">
      <c r="B47" t="s">
        <v>358</v>
      </c>
      <c r="E47" s="39" t="s">
        <v>255</v>
      </c>
      <c r="F47" s="42" t="s">
        <v>308</v>
      </c>
    </row>
    <row r="48" spans="2:16" ht="18" customHeight="1">
      <c r="B48" t="s">
        <v>358</v>
      </c>
      <c r="E48" s="39" t="s">
        <v>256</v>
      </c>
      <c r="F48" s="24" t="s">
        <v>336</v>
      </c>
    </row>
    <row r="49" spans="2:16" ht="18" customHeight="1">
      <c r="B49" t="s">
        <v>358</v>
      </c>
      <c r="E49" s="39" t="s">
        <v>257</v>
      </c>
      <c r="F49" s="42" t="s">
        <v>278</v>
      </c>
      <c r="P49" s="29" t="s">
        <v>358</v>
      </c>
    </row>
    <row r="50" spans="2:16" ht="18" customHeight="1">
      <c r="B50" t="s">
        <v>358</v>
      </c>
      <c r="E50" s="39" t="s">
        <v>260</v>
      </c>
      <c r="F50" s="42" t="s">
        <v>296</v>
      </c>
    </row>
    <row r="51" spans="2:16" ht="18" customHeight="1">
      <c r="B51" t="s">
        <v>358</v>
      </c>
      <c r="E51" s="39" t="s">
        <v>262</v>
      </c>
      <c r="F51" s="42" t="s">
        <v>298</v>
      </c>
    </row>
    <row r="52" spans="2:16" ht="18" customHeight="1">
      <c r="B52" t="s">
        <v>358</v>
      </c>
      <c r="E52" s="39" t="s">
        <v>261</v>
      </c>
      <c r="F52" s="29" t="str">
        <f>CONCATENATE("Compound annual growth rate (per cent), for the period from ", $A$3 - 1, " to ", $A$3+ 5, " or for the equivalent financial years.")</f>
        <v>Compound annual growth rate (per cent), for the period from 2023 to 2029 or for the equivalent financial years.</v>
      </c>
    </row>
    <row r="53" spans="2:16" ht="18" customHeight="1">
      <c r="F53" s="42" t="s">
        <v>330</v>
      </c>
    </row>
  </sheetData>
  <pageMargins left="0" right="0" top="0" bottom="0" header="0" footer="0"/>
  <pageSetup paperSize="9" scale="73"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52"/>
  <sheetViews>
    <sheetView showGridLines="0" tabSelected="1" workbookViewId="0">
      <selection activeCell="F24" sqref="F24"/>
    </sheetView>
  </sheetViews>
  <sheetFormatPr defaultColWidth="10.625" defaultRowHeight="14.25"/>
  <cols>
    <col min="6" max="6" width="82.625" customWidth="1"/>
  </cols>
  <sheetData>
    <row r="2" spans="1:6" ht="18" customHeight="1">
      <c r="A2" s="7"/>
    </row>
    <row r="5" spans="1:6" ht="18" customHeight="1">
      <c r="F5" s="8" t="s">
        <v>253</v>
      </c>
    </row>
    <row r="7" spans="1:6" ht="15.75" customHeight="1">
      <c r="F7" s="9" t="s">
        <v>79</v>
      </c>
    </row>
    <row r="8" spans="1:6" ht="15.75" customHeight="1">
      <c r="F8" s="9" t="s">
        <v>78</v>
      </c>
    </row>
    <row r="9" spans="1:6" ht="15.75" customHeight="1">
      <c r="F9" s="9" t="s">
        <v>98</v>
      </c>
    </row>
    <row r="10" spans="1:6" ht="15.75" customHeight="1">
      <c r="F10" s="9" t="s">
        <v>172</v>
      </c>
    </row>
    <row r="11" spans="1:6" ht="15.75" customHeight="1">
      <c r="F11" s="9" t="s">
        <v>169</v>
      </c>
    </row>
    <row r="12" spans="1:6" ht="15.75" customHeight="1">
      <c r="F12" s="9" t="s">
        <v>168</v>
      </c>
    </row>
    <row r="13" spans="1:6" ht="15.75" customHeight="1">
      <c r="F13" s="9" t="s">
        <v>193</v>
      </c>
    </row>
    <row r="14" spans="1:6" ht="15.75" customHeight="1">
      <c r="F14" s="9" t="s">
        <v>77</v>
      </c>
    </row>
    <row r="15" spans="1:6" ht="15.75" customHeight="1">
      <c r="F15" s="9" t="s">
        <v>114</v>
      </c>
    </row>
    <row r="16" spans="1:6" ht="15.75" customHeight="1">
      <c r="F16" s="9" t="s">
        <v>115</v>
      </c>
    </row>
    <row r="17" spans="6:6" ht="15.75" customHeight="1">
      <c r="F17" s="9" t="s">
        <v>136</v>
      </c>
    </row>
    <row r="18" spans="6:6" ht="15.75" customHeight="1">
      <c r="F18" s="9" t="s">
        <v>71</v>
      </c>
    </row>
    <row r="19" spans="6:6" ht="15.75" customHeight="1">
      <c r="F19" s="9" t="s">
        <v>73</v>
      </c>
    </row>
    <row r="20" spans="6:6" ht="15.75" customHeight="1">
      <c r="F20" s="9" t="s">
        <v>72</v>
      </c>
    </row>
    <row r="21" spans="6:6" ht="15.75" customHeight="1">
      <c r="F21" s="9" t="s">
        <v>70</v>
      </c>
    </row>
    <row r="22" spans="6:6" ht="15.75" customHeight="1">
      <c r="F22" s="9" t="s">
        <v>76</v>
      </c>
    </row>
    <row r="23" spans="6:6" ht="15.75" customHeight="1">
      <c r="F23" s="9" t="s">
        <v>75</v>
      </c>
    </row>
    <row r="24" spans="6:6" ht="15.75" customHeight="1">
      <c r="F24" s="9" t="s">
        <v>74</v>
      </c>
    </row>
    <row r="25" spans="6:6" ht="15.75" customHeight="1">
      <c r="F25" s="9" t="s">
        <v>81</v>
      </c>
    </row>
    <row r="26" spans="6:6" ht="15.75" customHeight="1">
      <c r="F26" s="9" t="s">
        <v>80</v>
      </c>
    </row>
    <row r="27" spans="6:6" ht="15.75" customHeight="1">
      <c r="F27" s="9" t="s">
        <v>189</v>
      </c>
    </row>
    <row r="28" spans="6:6">
      <c r="F28" s="10"/>
    </row>
    <row r="29" spans="6:6">
      <c r="F29" s="10"/>
    </row>
    <row r="30" spans="6:6">
      <c r="F30" s="10"/>
    </row>
    <row r="31" spans="6:6">
      <c r="F31" s="10"/>
    </row>
    <row r="32" spans="6:6">
      <c r="F32" s="10"/>
    </row>
    <row r="33" spans="6:6">
      <c r="F33" s="10"/>
    </row>
    <row r="34" spans="6:6">
      <c r="F34" s="10"/>
    </row>
    <row r="35" spans="6:6">
      <c r="F35" s="10"/>
    </row>
    <row r="36" spans="6:6">
      <c r="F36" s="10"/>
    </row>
    <row r="37" spans="6:6">
      <c r="F37" s="10"/>
    </row>
    <row r="38" spans="6:6">
      <c r="F38" s="10"/>
    </row>
    <row r="39" spans="6:6">
      <c r="F39" s="10"/>
    </row>
    <row r="40" spans="6:6">
      <c r="F40" s="10"/>
    </row>
    <row r="41" spans="6:6">
      <c r="F41" s="10"/>
    </row>
    <row r="42" spans="6:6">
      <c r="F42" s="10"/>
    </row>
    <row r="43" spans="6:6">
      <c r="F43" s="10"/>
    </row>
    <row r="44" spans="6:6">
      <c r="F44" s="10"/>
    </row>
    <row r="45" spans="6:6">
      <c r="F45" s="10"/>
    </row>
    <row r="46" spans="6:6">
      <c r="F46" s="10"/>
    </row>
    <row r="47" spans="6:6">
      <c r="F47" s="10"/>
    </row>
    <row r="48" spans="6:6">
      <c r="F48" s="10"/>
    </row>
    <row r="49" spans="6:6">
      <c r="F49" s="10"/>
    </row>
    <row r="50" spans="6:6">
      <c r="F50" s="10"/>
    </row>
    <row r="51" spans="6:6">
      <c r="F51" s="10"/>
    </row>
    <row r="52" spans="6:6">
      <c r="F52" s="10"/>
    </row>
  </sheetData>
  <hyperlinks>
    <hyperlink ref="F5" location="'Contents'!A1" display="'Contents'!A1" xr:uid="{00000000-0004-0000-0100-000000000000}"/>
    <hyperlink ref="F7" location="'World macro'!A1" display="World macro" xr:uid="{00000000-0004-0000-0100-000001000000}"/>
    <hyperlink ref="F8" location="'Aus macro'!A1" display="Australia macro" xr:uid="{00000000-0004-0000-0100-000002000000}"/>
    <hyperlink ref="F9" location="'Commodity sector'!A1" display="Commodity sector" xr:uid="{00000000-0004-0000-0100-000003000000}"/>
    <hyperlink ref="F10" location="'Selected exports'!A1" display="Selected exports" xr:uid="{00000000-0004-0000-0100-000004000000}"/>
    <hyperlink ref="F11" location="'Quarterly export values'!A1" display="Australia's export values, nominal quarterly" xr:uid="{00000000-0004-0000-0100-000005000000}"/>
    <hyperlink ref="F12" location="'Quarterly prices'!A1" display="Spot prices, nominal quarterly average" xr:uid="{00000000-0004-0000-0100-000006000000}"/>
    <hyperlink ref="F13" location="'Quarterly export volumes'!A1" display="Australia's export volumes, quarterly" xr:uid="{00000000-0004-0000-0100-000007000000}"/>
    <hyperlink ref="F14" location="'Steel-making'!A1" display="Steel-making" xr:uid="{00000000-0004-0000-0100-000008000000}"/>
    <hyperlink ref="F15" location="'Steel-making steel'!A1" display="Steel-making - steel" xr:uid="{00000000-0004-0000-0100-000009000000}"/>
    <hyperlink ref="F16" location="'Steel-making iron ore'!A1" display="Steel-making - iron ore" xr:uid="{00000000-0004-0000-0100-00000A000000}"/>
    <hyperlink ref="F17" location="'Steel-making met coal'!A1" display="Steel-making - metallurgical coal" xr:uid="{00000000-0004-0000-0100-00000B000000}"/>
    <hyperlink ref="F18" location="'Thermal coal'!A1" display="Thermal coal" xr:uid="{00000000-0004-0000-0100-00000C000000}"/>
    <hyperlink ref="F19" location="'Oil'!A1" display="Oil" xr:uid="{00000000-0004-0000-0100-00000D000000}"/>
    <hyperlink ref="F20" location="'Gas'!A1" display="Gas" xr:uid="{00000000-0004-0000-0100-00000E000000}"/>
    <hyperlink ref="F21" location="'Uranium'!A1" display="Uranium" xr:uid="{00000000-0004-0000-0100-00000F000000}"/>
    <hyperlink ref="F22" location="'Gold'!A1" display="Gold" xr:uid="{00000000-0004-0000-0100-000010000000}"/>
    <hyperlink ref="F23" location="'Aluminium'!A1" display="Aluminium" xr:uid="{00000000-0004-0000-0100-000011000000}"/>
    <hyperlink ref="F24" location="'Copper'!A1" display="Copper" xr:uid="{00000000-0004-0000-0100-000012000000}"/>
    <hyperlink ref="F25" location="'Nickel'!A1" display="Nickel" xr:uid="{00000000-0004-0000-0100-000013000000}"/>
    <hyperlink ref="F26" location="'Zinc'!A1" display="Zinc" xr:uid="{00000000-0004-0000-0100-000014000000}"/>
    <hyperlink ref="F27" location="'Lithium'!A1" display="Lithium" xr:uid="{00000000-0004-0000-0100-000015000000}"/>
  </hyperlink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4"/>
  <sheetViews>
    <sheetView topLeftCell="A16" zoomScale="90" zoomScaleNormal="90" workbookViewId="0">
      <selection activeCell="H33" sqref="H33"/>
    </sheetView>
  </sheetViews>
  <sheetFormatPr defaultColWidth="10.625" defaultRowHeight="14.25"/>
  <cols>
    <col min="1" max="1" width="14.625" customWidth="1"/>
    <col min="4" max="4" width="11.625" customWidth="1"/>
    <col min="5" max="5" width="1.875" customWidth="1"/>
    <col min="6" max="6" width="27.625" customWidth="1"/>
    <col min="7" max="7" width="9.6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1"/>
      <c r="G4" s="132"/>
      <c r="H4" s="132"/>
      <c r="I4" s="132"/>
      <c r="J4" s="132"/>
      <c r="K4" s="132"/>
      <c r="L4" s="132"/>
      <c r="M4" s="132"/>
      <c r="N4" s="132"/>
      <c r="O4" s="133"/>
      <c r="P4" s="132"/>
    </row>
    <row r="5" spans="1:16" ht="18" customHeight="1">
      <c r="B5" t="s">
        <v>358</v>
      </c>
      <c r="F5" s="30"/>
    </row>
    <row r="6" spans="1:16" ht="18" customHeight="1">
      <c r="B6" t="s">
        <v>358</v>
      </c>
      <c r="D6" s="29" t="s">
        <v>358</v>
      </c>
      <c r="F6" s="12" t="s">
        <v>74</v>
      </c>
      <c r="G6" s="62"/>
      <c r="H6" s="62" t="s">
        <v>0</v>
      </c>
      <c r="I6" s="62"/>
      <c r="J6" s="62"/>
      <c r="K6" s="62"/>
      <c r="L6" s="62"/>
      <c r="M6" s="62"/>
      <c r="N6" s="62"/>
    </row>
    <row r="7" spans="1:16" ht="20.100000000000001" customHeight="1">
      <c r="B7" t="s">
        <v>358</v>
      </c>
      <c r="D7" s="29" t="s">
        <v>358</v>
      </c>
      <c r="F7" s="51"/>
      <c r="G7" s="52" t="s">
        <v>1</v>
      </c>
      <c r="H7" s="135">
        <f>H3</f>
        <v>2023</v>
      </c>
      <c r="I7" s="52" t="str">
        <f>CONCATENATE(I3," f")</f>
        <v>2024 f</v>
      </c>
      <c r="J7" s="52" t="str">
        <f>CONCATENATE(J3," f")</f>
        <v>2025 f</v>
      </c>
      <c r="K7" s="52" t="str">
        <f>CONCATENATE(K3," f")</f>
        <v>2026 f</v>
      </c>
      <c r="L7" s="52" t="str">
        <f>CONCATENATE(L3," z")</f>
        <v>2027 z</v>
      </c>
      <c r="M7" s="52" t="str">
        <f>CONCATENATE(M3," z")</f>
        <v>2028 z</v>
      </c>
      <c r="N7" s="52" t="str">
        <f>CONCATENATE(N3," z")</f>
        <v>2029 z</v>
      </c>
      <c r="O7" s="41" t="s">
        <v>184</v>
      </c>
    </row>
    <row r="8" spans="1:16" ht="27.95" customHeight="1">
      <c r="B8" t="s">
        <v>358</v>
      </c>
      <c r="F8" s="43" t="s">
        <v>17</v>
      </c>
      <c r="H8" s="45"/>
      <c r="I8" s="45"/>
      <c r="J8" s="45"/>
      <c r="K8" s="45"/>
      <c r="L8" s="45"/>
      <c r="M8" s="45"/>
      <c r="N8" s="45"/>
    </row>
    <row r="9" spans="1:16" ht="20.100000000000001" customHeight="1">
      <c r="B9" t="s">
        <v>358</v>
      </c>
      <c r="F9" s="30" t="s">
        <v>2</v>
      </c>
      <c r="G9" s="32"/>
      <c r="H9" s="45"/>
      <c r="I9" s="45"/>
      <c r="J9" s="45"/>
      <c r="K9" s="45"/>
      <c r="L9" s="45"/>
      <c r="M9" s="45"/>
      <c r="N9" s="45"/>
      <c r="O9" s="16"/>
    </row>
    <row r="10" spans="1:16" ht="20.100000000000001" customHeight="1">
      <c r="B10" s="29" t="s">
        <v>358</v>
      </c>
      <c r="F10" s="81" t="s">
        <v>3</v>
      </c>
      <c r="G10" s="32" t="s">
        <v>4</v>
      </c>
      <c r="H10" s="47">
        <v>22364.069</v>
      </c>
      <c r="I10" s="47">
        <v>22945.534793999999</v>
      </c>
      <c r="J10" s="47">
        <v>23542.118698644001</v>
      </c>
      <c r="K10" s="47">
        <v>24144.796937329302</v>
      </c>
      <c r="L10" s="47">
        <v>24760.489259231199</v>
      </c>
      <c r="M10" s="47">
        <v>25391.881735341602</v>
      </c>
      <c r="N10" s="47">
        <v>26039.374719592801</v>
      </c>
      <c r="O10" s="16">
        <f>((N10/H10)^(1/6)-1)*100</f>
        <v>2.5683308284629947</v>
      </c>
    </row>
    <row r="11" spans="1:16" ht="20.100000000000001" customHeight="1">
      <c r="B11" s="29" t="s">
        <v>358</v>
      </c>
      <c r="F11" s="81" t="s">
        <v>5</v>
      </c>
      <c r="G11" s="32" t="s">
        <v>4</v>
      </c>
      <c r="H11" s="47">
        <v>27626.129000000001</v>
      </c>
      <c r="I11" s="47">
        <v>28178.651580000002</v>
      </c>
      <c r="J11" s="47">
        <v>28897.207195290001</v>
      </c>
      <c r="K11" s="47">
        <v>29635.530839129598</v>
      </c>
      <c r="L11" s="47">
        <v>30392.718652069401</v>
      </c>
      <c r="M11" s="47">
        <v>31169.2526136298</v>
      </c>
      <c r="N11" s="47">
        <v>31965.627017907998</v>
      </c>
      <c r="O11" s="16">
        <f t="shared" ref="O11:O34" si="1">((N11/H11)^(1/6)-1)*100</f>
        <v>2.4614581335226982</v>
      </c>
    </row>
    <row r="12" spans="1:16" ht="27.95" customHeight="1">
      <c r="B12" s="29" t="s">
        <v>358</v>
      </c>
      <c r="F12" s="30" t="s">
        <v>6</v>
      </c>
      <c r="G12" s="32" t="s">
        <v>4</v>
      </c>
      <c r="H12" s="47">
        <v>28033.530999999999</v>
      </c>
      <c r="I12" s="47">
        <v>28408.5337527874</v>
      </c>
      <c r="J12" s="47">
        <v>28974.155695433001</v>
      </c>
      <c r="K12" s="47">
        <v>29445.503565225401</v>
      </c>
      <c r="L12" s="47">
        <v>30066.545844690299</v>
      </c>
      <c r="M12" s="47">
        <v>30980.340032380998</v>
      </c>
      <c r="N12" s="47">
        <v>31855.761887196899</v>
      </c>
      <c r="O12" s="16">
        <f t="shared" si="1"/>
        <v>2.1531348879804346</v>
      </c>
    </row>
    <row r="13" spans="1:16" ht="27.95" customHeight="1">
      <c r="B13" s="29" t="s">
        <v>358</v>
      </c>
      <c r="F13" s="30" t="s">
        <v>18</v>
      </c>
      <c r="G13" s="32" t="s">
        <v>4</v>
      </c>
      <c r="H13" s="45">
        <v>655.75533333333306</v>
      </c>
      <c r="I13" s="45">
        <v>425.873160545975</v>
      </c>
      <c r="J13" s="45">
        <v>348.92466040296398</v>
      </c>
      <c r="K13" s="45">
        <v>538.95193430724498</v>
      </c>
      <c r="L13" s="45">
        <v>865.12474168637198</v>
      </c>
      <c r="M13" s="45">
        <v>1054.0373229351401</v>
      </c>
      <c r="N13" s="45">
        <v>1163.90245364623</v>
      </c>
      <c r="O13" s="16">
        <f t="shared" si="1"/>
        <v>10.034563603799951</v>
      </c>
    </row>
    <row r="14" spans="1:16" ht="20.100000000000001" customHeight="1">
      <c r="B14" s="29" t="s">
        <v>358</v>
      </c>
      <c r="F14" s="30" t="s">
        <v>111</v>
      </c>
      <c r="G14" s="32"/>
      <c r="H14" s="59">
        <v>1.21637468121063</v>
      </c>
      <c r="I14" s="59">
        <v>0.77953352119828601</v>
      </c>
      <c r="J14" s="59">
        <v>0.626216084833632</v>
      </c>
      <c r="K14" s="59">
        <v>0.95177521830784295</v>
      </c>
      <c r="L14" s="59">
        <v>1.4962306212383201</v>
      </c>
      <c r="M14" s="59">
        <v>1.76918460983125</v>
      </c>
      <c r="N14" s="59">
        <v>1.8999051978075101</v>
      </c>
      <c r="O14" s="16">
        <f t="shared" si="1"/>
        <v>7.7153077332987596</v>
      </c>
    </row>
    <row r="15" spans="1:16" ht="27.95" customHeight="1">
      <c r="B15" t="s">
        <v>358</v>
      </c>
      <c r="F15" s="30" t="s">
        <v>20</v>
      </c>
      <c r="G15" s="32"/>
      <c r="H15" s="45"/>
      <c r="I15" s="45"/>
      <c r="J15" s="45"/>
      <c r="K15" s="45"/>
      <c r="L15" s="45"/>
      <c r="M15" s="45"/>
      <c r="N15" s="45"/>
      <c r="O15" s="16"/>
    </row>
    <row r="16" spans="1:16" ht="20.100000000000001" customHeight="1">
      <c r="B16" s="29" t="s">
        <v>358</v>
      </c>
      <c r="F16" s="30" t="s">
        <v>8</v>
      </c>
      <c r="G16" s="32" t="s">
        <v>9</v>
      </c>
      <c r="H16" s="47">
        <v>8468.6061625292605</v>
      </c>
      <c r="I16" s="47">
        <v>8340.1533077337808</v>
      </c>
      <c r="J16" s="47">
        <v>8827.3002899764306</v>
      </c>
      <c r="K16" s="47">
        <v>9359.1736532532304</v>
      </c>
      <c r="L16" s="47">
        <v>9665.4336053455809</v>
      </c>
      <c r="M16" s="47">
        <v>9945.3324478091108</v>
      </c>
      <c r="N16" s="47">
        <v>10207.434329650399</v>
      </c>
      <c r="O16" s="16">
        <f t="shared" si="1"/>
        <v>3.1614512489986257</v>
      </c>
    </row>
    <row r="17" spans="1:16" ht="20.100000000000001" customHeight="1">
      <c r="B17" s="29" t="s">
        <v>358</v>
      </c>
      <c r="F17" s="30"/>
      <c r="G17" s="32" t="s">
        <v>10</v>
      </c>
      <c r="H17" s="45">
        <v>384.12997081262398</v>
      </c>
      <c r="I17" s="45">
        <v>378.30344039942401</v>
      </c>
      <c r="J17" s="45">
        <v>400.40008209924798</v>
      </c>
      <c r="K17" s="45">
        <v>424.52548072925202</v>
      </c>
      <c r="L17" s="45">
        <v>438.41721500057099</v>
      </c>
      <c r="M17" s="45">
        <v>451.11322803064098</v>
      </c>
      <c r="N17" s="45">
        <v>463.00198354593499</v>
      </c>
      <c r="O17" s="16">
        <f t="shared" si="1"/>
        <v>3.1614512489985813</v>
      </c>
    </row>
    <row r="18" spans="1:16" ht="20.100000000000001" customHeight="1">
      <c r="B18" s="29" t="s">
        <v>358</v>
      </c>
      <c r="F18" s="30" t="s">
        <v>126</v>
      </c>
      <c r="G18" s="32" t="s">
        <v>9</v>
      </c>
      <c r="H18" s="47">
        <v>8654.9154981049105</v>
      </c>
      <c r="I18" s="47">
        <v>8340.1533077337899</v>
      </c>
      <c r="J18" s="47">
        <v>8662.7088223517494</v>
      </c>
      <c r="K18" s="47">
        <v>8990.9108882706496</v>
      </c>
      <c r="L18" s="47">
        <v>9098.0639935051095</v>
      </c>
      <c r="M18" s="47">
        <v>9166.1110358715305</v>
      </c>
      <c r="N18" s="47">
        <v>9211.2923605283595</v>
      </c>
      <c r="O18" s="16">
        <f t="shared" si="1"/>
        <v>1.0437888070933043</v>
      </c>
    </row>
    <row r="19" spans="1:16" ht="20.25" customHeight="1">
      <c r="B19" s="29" t="s">
        <v>358</v>
      </c>
      <c r="F19" s="30"/>
      <c r="G19" s="32" t="s">
        <v>10</v>
      </c>
      <c r="H19" s="45">
        <v>392.580830170502</v>
      </c>
      <c r="I19" s="45">
        <v>378.30344039942401</v>
      </c>
      <c r="J19" s="45">
        <v>392.93432983243201</v>
      </c>
      <c r="K19" s="45">
        <v>407.82134282872602</v>
      </c>
      <c r="L19" s="45">
        <v>412.68173170456203</v>
      </c>
      <c r="M19" s="45">
        <v>415.76829729710897</v>
      </c>
      <c r="N19" s="45">
        <v>417.81769014743401</v>
      </c>
      <c r="O19" s="16">
        <f t="shared" si="1"/>
        <v>1.0437888070932821</v>
      </c>
    </row>
    <row r="20" spans="1:16" ht="40.5" customHeight="1">
      <c r="B20" t="s">
        <v>358</v>
      </c>
      <c r="F20" s="30"/>
      <c r="G20" s="32"/>
      <c r="H20" s="45"/>
      <c r="I20" s="45"/>
      <c r="J20" s="45"/>
      <c r="K20" s="45"/>
      <c r="L20" s="45"/>
      <c r="M20" s="45"/>
      <c r="N20" s="45"/>
      <c r="O20" s="16"/>
    </row>
    <row r="21" spans="1:16" ht="40.5" customHeight="1">
      <c r="A21" s="132"/>
      <c r="B21" s="129" t="s">
        <v>358</v>
      </c>
      <c r="C21" s="132"/>
      <c r="D21" s="132"/>
      <c r="E21" s="132"/>
      <c r="F21" s="131"/>
      <c r="G21" s="132"/>
      <c r="H21" s="147" t="str">
        <f t="shared" ref="H21:N21" si="2">CONCATENATE(H$3-1,"-",RIGHT(H$3,2))</f>
        <v>2022-23</v>
      </c>
      <c r="I21" s="147" t="str">
        <f t="shared" si="2"/>
        <v>2023-24</v>
      </c>
      <c r="J21" s="147" t="str">
        <f t="shared" si="2"/>
        <v>2024-25</v>
      </c>
      <c r="K21" s="147" t="str">
        <f t="shared" si="2"/>
        <v>2025-26</v>
      </c>
      <c r="L21" s="147" t="str">
        <f t="shared" si="2"/>
        <v>2026-27</v>
      </c>
      <c r="M21" s="147" t="str">
        <f t="shared" si="2"/>
        <v>2027-28</v>
      </c>
      <c r="N21" s="147" t="str">
        <f t="shared" si="2"/>
        <v>2028-29</v>
      </c>
      <c r="O21" s="141"/>
      <c r="P21" s="132"/>
    </row>
    <row r="22" spans="1:16" ht="40.5" customHeight="1">
      <c r="B22" s="29" t="s">
        <v>358</v>
      </c>
      <c r="F22" s="30"/>
      <c r="H22" s="45"/>
      <c r="I22" s="45"/>
      <c r="J22" s="45"/>
      <c r="K22" s="45"/>
      <c r="L22" s="45"/>
      <c r="M22" s="45"/>
      <c r="N22" s="45"/>
      <c r="O22" s="16"/>
    </row>
    <row r="23" spans="1:16" ht="40.5" customHeight="1">
      <c r="B23" t="s">
        <v>358</v>
      </c>
      <c r="F23" s="30"/>
      <c r="G23" s="32"/>
      <c r="H23" s="45"/>
      <c r="I23" s="45"/>
      <c r="J23" s="107"/>
      <c r="K23" s="107"/>
      <c r="L23" s="107"/>
      <c r="M23" s="107"/>
      <c r="N23" s="107"/>
      <c r="O23" s="16"/>
    </row>
    <row r="24" spans="1:16" ht="20.100000000000001" customHeight="1">
      <c r="B24" t="s">
        <v>358</v>
      </c>
      <c r="F24" s="30"/>
      <c r="G24" s="32"/>
      <c r="H24" s="52" t="str">
        <f>CONCATENATE(H$3-1,"–",RIGHT(H$3,2))</f>
        <v>2022–23</v>
      </c>
      <c r="I24" s="52" t="str">
        <f>CONCATENATE(CONCATENATE(I$3-1,"–",RIGHT(I$3,2)),IF($A$4&gt;6,""," f"))</f>
        <v>2023–24 f</v>
      </c>
      <c r="J24" s="52" t="str">
        <f>CONCATENATE(CONCATENATE(J$3-1,"–",RIGHT(J$3,2))," f")</f>
        <v>2024–25 f</v>
      </c>
      <c r="K24" s="52" t="str">
        <f>CONCATENATE(CONCATENATE(K$3-1,"–",RIGHT(K$3,2))," f")</f>
        <v>2025–26 f</v>
      </c>
      <c r="L24" s="52" t="str">
        <f>CONCATENATE(CONCATENATE(L$3-1,"–",RIGHT(L$3,2))," z")</f>
        <v>2026–27 z</v>
      </c>
      <c r="M24" s="52" t="str">
        <f>CONCATENATE(CONCATENATE(M$3-1,"–",RIGHT(M$3,2))," z")</f>
        <v>2027–28 z</v>
      </c>
      <c r="N24" s="52" t="str">
        <f>CONCATENATE(CONCATENATE(N$3-1,"–",RIGHT(N$3,2))," z")</f>
        <v>2028–29 z</v>
      </c>
      <c r="O24" s="52" t="s">
        <v>184</v>
      </c>
    </row>
    <row r="25" spans="1:16" ht="20.100000000000001" customHeight="1">
      <c r="B25" t="s">
        <v>358</v>
      </c>
      <c r="F25" s="43" t="s">
        <v>28</v>
      </c>
      <c r="G25" s="37" t="s">
        <v>0</v>
      </c>
      <c r="H25" s="45"/>
      <c r="I25" s="45"/>
      <c r="J25" s="45"/>
      <c r="K25" s="45"/>
      <c r="L25" s="45"/>
      <c r="M25" s="45"/>
      <c r="N25" s="45"/>
      <c r="O25" s="16"/>
    </row>
    <row r="26" spans="1:16" ht="20.100000000000001" customHeight="1">
      <c r="B26" s="29" t="s">
        <v>358</v>
      </c>
      <c r="F26" s="30" t="s">
        <v>29</v>
      </c>
      <c r="G26" s="32" t="s">
        <v>4</v>
      </c>
      <c r="H26" s="47">
        <v>808.35818761999997</v>
      </c>
      <c r="I26" s="47">
        <v>813.34332274074097</v>
      </c>
      <c r="J26" s="47">
        <v>821.01815627690905</v>
      </c>
      <c r="K26" s="47">
        <v>888.06450904521705</v>
      </c>
      <c r="L26" s="47">
        <v>1031.27364691815</v>
      </c>
      <c r="M26" s="47">
        <v>1113.83634564668</v>
      </c>
      <c r="N26" s="47">
        <v>1160.07377564578</v>
      </c>
      <c r="O26" s="16">
        <f t="shared" si="1"/>
        <v>6.205488611851262</v>
      </c>
    </row>
    <row r="27" spans="1:16" ht="20.100000000000001" customHeight="1">
      <c r="B27" s="29" t="s">
        <v>358</v>
      </c>
      <c r="F27" s="30" t="s">
        <v>26</v>
      </c>
      <c r="G27" s="32" t="s">
        <v>4</v>
      </c>
      <c r="H27" s="45">
        <v>453.74899699999997</v>
      </c>
      <c r="I27" s="45">
        <v>461.71199999999999</v>
      </c>
      <c r="J27" s="45">
        <v>470.44542799999999</v>
      </c>
      <c r="K27" s="45">
        <v>454.26140400000003</v>
      </c>
      <c r="L27" s="45">
        <v>460.411404</v>
      </c>
      <c r="M27" s="45">
        <v>468.661404</v>
      </c>
      <c r="N27" s="45">
        <v>471.77390400000002</v>
      </c>
      <c r="O27" s="16">
        <f t="shared" si="1"/>
        <v>0.65137358288478442</v>
      </c>
    </row>
    <row r="28" spans="1:16" ht="27.95" customHeight="1">
      <c r="B28" t="s">
        <v>358</v>
      </c>
      <c r="F28" s="30" t="s">
        <v>27</v>
      </c>
      <c r="G28" s="32" t="s">
        <v>0</v>
      </c>
      <c r="H28" s="171"/>
      <c r="I28" s="45"/>
      <c r="J28" s="45"/>
      <c r="K28" s="45"/>
      <c r="L28" s="45"/>
      <c r="M28" s="45"/>
      <c r="N28" s="45"/>
      <c r="O28" s="16"/>
    </row>
    <row r="29" spans="1:16" ht="20.100000000000001" customHeight="1">
      <c r="B29" s="29" t="s">
        <v>358</v>
      </c>
      <c r="F29" s="30" t="s">
        <v>134</v>
      </c>
      <c r="G29" s="32" t="s">
        <v>4</v>
      </c>
      <c r="H29" s="172">
        <v>1511.2419400000001</v>
      </c>
      <c r="I29" s="47">
        <v>1420.71429524726</v>
      </c>
      <c r="J29" s="47">
        <v>1505.4440353944101</v>
      </c>
      <c r="K29" s="47">
        <v>1757.12190880701</v>
      </c>
      <c r="L29" s="47">
        <v>2115.86803365065</v>
      </c>
      <c r="M29" s="47">
        <v>2286.5555008040701</v>
      </c>
      <c r="N29" s="47">
        <v>2395.93997119495</v>
      </c>
      <c r="O29" s="16">
        <f t="shared" si="1"/>
        <v>7.9833978919638504</v>
      </c>
    </row>
    <row r="30" spans="1:16" ht="20.100000000000001" customHeight="1">
      <c r="B30" s="29" t="s">
        <v>358</v>
      </c>
      <c r="F30" s="38" t="s">
        <v>5</v>
      </c>
      <c r="G30" s="32" t="s">
        <v>4</v>
      </c>
      <c r="H30" s="171">
        <v>415.20783</v>
      </c>
      <c r="I30" s="45">
        <v>434.02994000000001</v>
      </c>
      <c r="J30" s="45">
        <v>470.44542799999999</v>
      </c>
      <c r="K30" s="45">
        <v>454.26140400000003</v>
      </c>
      <c r="L30" s="45">
        <v>460.411404</v>
      </c>
      <c r="M30" s="45">
        <v>468.661404</v>
      </c>
      <c r="N30" s="45">
        <v>471.77390400000002</v>
      </c>
      <c r="O30" s="16">
        <f t="shared" si="1"/>
        <v>2.1514956940170471</v>
      </c>
    </row>
    <row r="31" spans="1:16" ht="20.100000000000001" customHeight="1">
      <c r="B31" s="108" t="s">
        <v>358</v>
      </c>
      <c r="F31" s="38" t="s">
        <v>14</v>
      </c>
      <c r="G31" s="32" t="s">
        <v>4</v>
      </c>
      <c r="H31" s="171">
        <v>851.85327966051398</v>
      </c>
      <c r="I31" s="45">
        <v>844.60841336961505</v>
      </c>
      <c r="J31" s="45">
        <v>905.65565722922997</v>
      </c>
      <c r="K31" s="45">
        <v>954.46174854065703</v>
      </c>
      <c r="L31" s="45">
        <v>1052.11954182005</v>
      </c>
      <c r="M31" s="45">
        <v>1103.7334315435701</v>
      </c>
      <c r="N31" s="45">
        <v>1134.8392140467099</v>
      </c>
      <c r="O31" s="16">
        <f t="shared" si="1"/>
        <v>4.896642846953414</v>
      </c>
    </row>
    <row r="32" spans="1:16" ht="27.95" customHeight="1">
      <c r="B32" s="108" t="s">
        <v>358</v>
      </c>
      <c r="F32" s="38" t="s">
        <v>24</v>
      </c>
      <c r="G32" s="32"/>
      <c r="H32" s="171"/>
      <c r="I32" s="45"/>
      <c r="J32" s="45"/>
      <c r="K32" s="45"/>
      <c r="L32" s="45"/>
      <c r="M32" s="45"/>
      <c r="N32" s="45"/>
      <c r="O32" s="16"/>
    </row>
    <row r="33" spans="2:16" ht="20.100000000000001" customHeight="1">
      <c r="B33" s="29" t="s">
        <v>358</v>
      </c>
      <c r="F33" s="38" t="s">
        <v>8</v>
      </c>
      <c r="G33" s="32" t="s">
        <v>16</v>
      </c>
      <c r="H33" s="172">
        <v>12261.832251</v>
      </c>
      <c r="I33" s="47">
        <v>12120.285792267499</v>
      </c>
      <c r="J33" s="47">
        <v>13288.277945523299</v>
      </c>
      <c r="K33" s="47">
        <v>14322.4430192564</v>
      </c>
      <c r="L33" s="47">
        <v>16635.100545981801</v>
      </c>
      <c r="M33" s="47">
        <v>18079.3854785023</v>
      </c>
      <c r="N33" s="47">
        <v>19184.081689057501</v>
      </c>
      <c r="O33" s="16">
        <f t="shared" si="1"/>
        <v>7.7451195677472384</v>
      </c>
    </row>
    <row r="34" spans="2:16" ht="20.100000000000001" customHeight="1">
      <c r="B34" s="29" t="s">
        <v>358</v>
      </c>
      <c r="F34" s="30" t="s">
        <v>128</v>
      </c>
      <c r="G34" s="32" t="s">
        <v>16</v>
      </c>
      <c r="H34" s="172">
        <v>12754.595738633599</v>
      </c>
      <c r="I34" s="47">
        <v>12120.285792267499</v>
      </c>
      <c r="J34" s="47">
        <v>12879.4237150443</v>
      </c>
      <c r="K34" s="47">
        <v>13508.7378884627</v>
      </c>
      <c r="L34" s="47">
        <v>15307.3226623357</v>
      </c>
      <c r="M34" s="47">
        <v>16230.5637886771</v>
      </c>
      <c r="N34" s="47">
        <v>16802.236404613999</v>
      </c>
      <c r="O34" s="16">
        <f t="shared" si="1"/>
        <v>4.7008157696449615</v>
      </c>
    </row>
    <row r="35" spans="2:16" ht="9.9499999999999993" customHeight="1">
      <c r="B35" t="s">
        <v>358</v>
      </c>
      <c r="F35" s="30"/>
      <c r="G35" s="32"/>
      <c r="H35" s="35"/>
      <c r="I35" s="35"/>
      <c r="J35" s="35"/>
      <c r="K35" s="35"/>
      <c r="L35" s="35"/>
      <c r="M35" s="35"/>
      <c r="N35" s="35"/>
      <c r="O35" s="35"/>
    </row>
    <row r="36" spans="2:16" ht="9.9499999999999993" customHeight="1">
      <c r="B36" t="s">
        <v>358</v>
      </c>
      <c r="F36" s="30"/>
      <c r="G36" s="32"/>
      <c r="H36" s="36"/>
      <c r="I36" s="36"/>
      <c r="J36" s="36"/>
      <c r="K36" s="36"/>
      <c r="L36" s="36"/>
      <c r="M36" s="36"/>
      <c r="N36" s="36"/>
      <c r="P36" s="29" t="s">
        <v>358</v>
      </c>
    </row>
    <row r="37" spans="2:16" ht="18" customHeight="1">
      <c r="B37" t="s">
        <v>358</v>
      </c>
      <c r="F37" s="16" t="s">
        <v>119</v>
      </c>
      <c r="G37" s="32"/>
      <c r="H37" s="36"/>
      <c r="I37" s="36"/>
      <c r="J37" s="36"/>
      <c r="K37" s="36"/>
      <c r="L37" s="36"/>
      <c r="M37" s="36"/>
      <c r="N37" s="36"/>
    </row>
    <row r="38" spans="2:16" ht="18" customHeight="1">
      <c r="B38" t="s">
        <v>358</v>
      </c>
      <c r="E38" s="39" t="s">
        <v>254</v>
      </c>
      <c r="F38" s="24" t="s">
        <v>336</v>
      </c>
    </row>
    <row r="39" spans="2:16" ht="18" customHeight="1">
      <c r="B39" t="s">
        <v>358</v>
      </c>
      <c r="E39" s="39" t="s">
        <v>255</v>
      </c>
      <c r="F39" s="30" t="s">
        <v>309</v>
      </c>
    </row>
    <row r="40" spans="2:16" ht="18" customHeight="1">
      <c r="B40" t="s">
        <v>358</v>
      </c>
      <c r="E40" s="39" t="s">
        <v>256</v>
      </c>
      <c r="F40" s="42" t="s">
        <v>278</v>
      </c>
    </row>
    <row r="41" spans="2:16" ht="18" customHeight="1">
      <c r="B41" t="s">
        <v>358</v>
      </c>
      <c r="E41" s="39" t="s">
        <v>260</v>
      </c>
      <c r="F41" s="30" t="s">
        <v>296</v>
      </c>
    </row>
    <row r="42" spans="2:16" ht="18" customHeight="1">
      <c r="B42" t="s">
        <v>358</v>
      </c>
      <c r="E42" s="39" t="s">
        <v>261</v>
      </c>
      <c r="F42" s="29" t="str">
        <f>CONCATENATE("Compound annual growth rate (per cent), for the period from ", $A$3 - 1, " to ", $A$3+ 5, " or for the equivalent financial years.")</f>
        <v>Compound annual growth rate (per cent), for the period from 2023 to 2029 or for the equivalent financial years.</v>
      </c>
    </row>
    <row r="43" spans="2:16" ht="17.25" customHeight="1">
      <c r="B43" t="s">
        <v>358</v>
      </c>
      <c r="E43" s="39" t="s">
        <v>262</v>
      </c>
      <c r="F43" s="42" t="s">
        <v>298</v>
      </c>
      <c r="P43" s="29" t="s">
        <v>358</v>
      </c>
    </row>
    <row r="44" spans="2:16" ht="18" customHeight="1">
      <c r="F44" s="30" t="s">
        <v>331</v>
      </c>
    </row>
  </sheetData>
  <pageMargins left="0" right="0" top="0" bottom="0" header="0" footer="0"/>
  <pageSetup paperSize="9" scale="73" fitToHeight="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3"/>
  <sheetViews>
    <sheetView topLeftCell="A11" zoomScale="90" zoomScaleNormal="90" workbookViewId="0">
      <selection activeCell="J31" sqref="J31"/>
    </sheetView>
  </sheetViews>
  <sheetFormatPr defaultColWidth="10.625" defaultRowHeight="14.25"/>
  <cols>
    <col min="1" max="1" width="14.625" customWidth="1"/>
    <col min="4" max="4" width="11.625" customWidth="1"/>
    <col min="5" max="5" width="1.875" customWidth="1"/>
    <col min="6" max="6" width="27.625" customWidth="1"/>
    <col min="7" max="7" width="9.6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1"/>
      <c r="G4" s="132"/>
      <c r="H4" s="132"/>
      <c r="I4" s="132"/>
      <c r="J4" s="132"/>
      <c r="K4" s="132"/>
      <c r="L4" s="132"/>
      <c r="M4" s="132"/>
      <c r="N4" s="132"/>
      <c r="O4" s="133"/>
      <c r="P4" s="132"/>
    </row>
    <row r="5" spans="1:16" ht="18" customHeight="1">
      <c r="B5" t="s">
        <v>358</v>
      </c>
      <c r="F5" s="30"/>
    </row>
    <row r="6" spans="1:16" ht="18" customHeight="1">
      <c r="B6" t="s">
        <v>358</v>
      </c>
      <c r="D6" s="29" t="s">
        <v>358</v>
      </c>
      <c r="F6" s="12" t="s">
        <v>81</v>
      </c>
      <c r="G6" s="62"/>
      <c r="H6" s="62" t="s">
        <v>0</v>
      </c>
      <c r="I6" s="62"/>
      <c r="J6" s="62"/>
      <c r="K6" s="62"/>
      <c r="L6" s="62"/>
      <c r="M6" s="62"/>
      <c r="N6" s="62"/>
    </row>
    <row r="7" spans="1:16" ht="20.100000000000001" customHeight="1">
      <c r="B7" t="s">
        <v>358</v>
      </c>
      <c r="D7" s="29" t="s">
        <v>358</v>
      </c>
      <c r="F7" s="51"/>
      <c r="G7" s="52" t="s">
        <v>1</v>
      </c>
      <c r="H7" s="135">
        <f>H3</f>
        <v>2023</v>
      </c>
      <c r="I7" s="52" t="str">
        <f>CONCATENATE(I3," f")</f>
        <v>2024 f</v>
      </c>
      <c r="J7" s="52" t="str">
        <f>CONCATENATE(J3," f")</f>
        <v>2025 f</v>
      </c>
      <c r="K7" s="52" t="str">
        <f>CONCATENATE(K3," f")</f>
        <v>2026 f</v>
      </c>
      <c r="L7" s="52" t="str">
        <f>CONCATENATE(L3," z")</f>
        <v>2027 z</v>
      </c>
      <c r="M7" s="52" t="str">
        <f>CONCATENATE(M3," z")</f>
        <v>2028 z</v>
      </c>
      <c r="N7" s="52" t="str">
        <f>CONCATENATE(N3," z")</f>
        <v>2029 z</v>
      </c>
      <c r="O7" s="41" t="s">
        <v>184</v>
      </c>
    </row>
    <row r="8" spans="1:16" ht="27.95" customHeight="1">
      <c r="B8" t="s">
        <v>358</v>
      </c>
      <c r="F8" s="79" t="s">
        <v>17</v>
      </c>
      <c r="G8" s="32"/>
      <c r="H8" s="45"/>
      <c r="I8" s="45"/>
      <c r="J8" s="45"/>
      <c r="K8" s="45"/>
      <c r="L8" s="45"/>
      <c r="M8" s="45"/>
      <c r="N8" s="45"/>
    </row>
    <row r="9" spans="1:16" ht="20.100000000000001" customHeight="1">
      <c r="B9" t="s">
        <v>358</v>
      </c>
      <c r="F9" s="30" t="s">
        <v>25</v>
      </c>
      <c r="G9" s="32"/>
      <c r="H9" s="45"/>
      <c r="I9" s="45"/>
      <c r="J9" s="45"/>
      <c r="K9" s="45"/>
      <c r="L9" s="45"/>
      <c r="M9" s="45"/>
      <c r="N9" s="45"/>
      <c r="O9" s="16"/>
    </row>
    <row r="10" spans="1:16" ht="20.100000000000001" customHeight="1">
      <c r="B10" s="29" t="s">
        <v>358</v>
      </c>
      <c r="F10" s="30" t="s">
        <v>3</v>
      </c>
      <c r="G10" s="32" t="s">
        <v>4</v>
      </c>
      <c r="H10" s="47">
        <v>3683.8020731043698</v>
      </c>
      <c r="I10" s="47">
        <v>3860.7221567742499</v>
      </c>
      <c r="J10" s="47">
        <v>4040.2639209316299</v>
      </c>
      <c r="K10" s="47">
        <v>4179.6351821743701</v>
      </c>
      <c r="L10" s="47">
        <v>4260</v>
      </c>
      <c r="M10" s="47">
        <v>4300</v>
      </c>
      <c r="N10" s="47">
        <v>4280</v>
      </c>
      <c r="O10" s="16">
        <f>((N10/H10)^(1/6)-1)*100</f>
        <v>2.5316422458182775</v>
      </c>
    </row>
    <row r="11" spans="1:16" ht="20.100000000000001" customHeight="1">
      <c r="B11" s="29" t="s">
        <v>358</v>
      </c>
      <c r="F11" s="30" t="s">
        <v>5</v>
      </c>
      <c r="G11" s="32" t="s">
        <v>4</v>
      </c>
      <c r="H11" s="47">
        <v>3346.4165659999999</v>
      </c>
      <c r="I11" s="47">
        <v>3606.9384823127102</v>
      </c>
      <c r="J11" s="47">
        <v>3780.3910473466799</v>
      </c>
      <c r="K11" s="47">
        <v>3935.4083028883501</v>
      </c>
      <c r="L11" s="47">
        <v>4060</v>
      </c>
      <c r="M11" s="47">
        <v>4190</v>
      </c>
      <c r="N11" s="47">
        <v>4300</v>
      </c>
      <c r="O11" s="16">
        <f t="shared" ref="O11:O32" si="1">((N11/H11)^(1/6)-1)*100</f>
        <v>4.2672875258021659</v>
      </c>
    </row>
    <row r="12" spans="1:16" ht="27.95" customHeight="1">
      <c r="B12" s="29" t="s">
        <v>358</v>
      </c>
      <c r="F12" s="30" t="s">
        <v>6</v>
      </c>
      <c r="G12" s="32" t="s">
        <v>4</v>
      </c>
      <c r="H12" s="47">
        <v>3103.62</v>
      </c>
      <c r="I12" s="47">
        <v>3493.6718739747098</v>
      </c>
      <c r="J12" s="47">
        <v>3566.1192369012301</v>
      </c>
      <c r="K12" s="47">
        <v>3769.79319433207</v>
      </c>
      <c r="L12" s="47">
        <v>3960</v>
      </c>
      <c r="M12" s="47">
        <v>4150</v>
      </c>
      <c r="N12" s="47">
        <v>4400</v>
      </c>
      <c r="O12" s="16">
        <f t="shared" si="1"/>
        <v>5.9897877459013982</v>
      </c>
    </row>
    <row r="13" spans="1:16" ht="27.95" customHeight="1">
      <c r="B13" s="29" t="s">
        <v>358</v>
      </c>
      <c r="F13" s="30" t="s">
        <v>19</v>
      </c>
      <c r="G13" s="32" t="s">
        <v>4</v>
      </c>
      <c r="H13" s="45">
        <v>935.29446629999995</v>
      </c>
      <c r="I13" s="45">
        <v>1048.561074638</v>
      </c>
      <c r="J13" s="45">
        <v>1262.83288508345</v>
      </c>
      <c r="K13" s="45">
        <v>1428.4479936397299</v>
      </c>
      <c r="L13" s="45">
        <v>1528.4479936397299</v>
      </c>
      <c r="M13" s="45">
        <v>1568.4479936397299</v>
      </c>
      <c r="N13" s="45">
        <v>1468.4479936397299</v>
      </c>
      <c r="O13" s="16">
        <f t="shared" si="1"/>
        <v>7.8081766445571077</v>
      </c>
    </row>
    <row r="14" spans="1:16" ht="20.100000000000001" customHeight="1">
      <c r="B14" s="29" t="s">
        <v>358</v>
      </c>
      <c r="F14" s="30" t="s">
        <v>111</v>
      </c>
      <c r="G14" s="32"/>
      <c r="H14" s="59">
        <v>15.670511289268701</v>
      </c>
      <c r="I14" s="59">
        <v>15.6068394079446</v>
      </c>
      <c r="J14" s="59">
        <v>18.414221640384898</v>
      </c>
      <c r="K14" s="59">
        <v>19.703811811466402</v>
      </c>
      <c r="L14" s="59">
        <v>20.070529209410601</v>
      </c>
      <c r="M14" s="59">
        <v>19.652842329943599</v>
      </c>
      <c r="N14" s="59">
        <v>17.354385379378598</v>
      </c>
      <c r="O14" s="16">
        <f t="shared" si="1"/>
        <v>1.715626512070223</v>
      </c>
    </row>
    <row r="15" spans="1:16" ht="27.95" customHeight="1">
      <c r="B15" t="s">
        <v>358</v>
      </c>
      <c r="F15" s="30" t="s">
        <v>20</v>
      </c>
      <c r="G15" s="32"/>
      <c r="H15" s="45"/>
      <c r="I15" s="45"/>
      <c r="J15" s="45"/>
      <c r="K15" s="45"/>
      <c r="L15" s="45"/>
      <c r="M15" s="45"/>
      <c r="N15" s="45"/>
      <c r="O15" s="16"/>
    </row>
    <row r="16" spans="1:16" ht="20.100000000000001" customHeight="1">
      <c r="B16" s="29" t="s">
        <v>358</v>
      </c>
      <c r="F16" s="30" t="s">
        <v>8</v>
      </c>
      <c r="G16" s="32" t="s">
        <v>9</v>
      </c>
      <c r="H16" s="47">
        <v>21470.399367559501</v>
      </c>
      <c r="I16" s="47">
        <v>16954.219066129899</v>
      </c>
      <c r="J16" s="47">
        <v>17650</v>
      </c>
      <c r="K16" s="47">
        <v>18375</v>
      </c>
      <c r="L16" s="47">
        <v>19575</v>
      </c>
      <c r="M16" s="47">
        <v>20550</v>
      </c>
      <c r="N16" s="47">
        <v>21400</v>
      </c>
      <c r="O16" s="16">
        <f t="shared" si="1"/>
        <v>-5.4723202729967113E-2</v>
      </c>
    </row>
    <row r="17" spans="1:16" ht="20.100000000000001" customHeight="1">
      <c r="B17" s="29" t="s">
        <v>358</v>
      </c>
      <c r="F17" s="30"/>
      <c r="G17" s="37" t="s">
        <v>21</v>
      </c>
      <c r="H17" s="45">
        <v>973.88094304936897</v>
      </c>
      <c r="I17" s="45">
        <v>769.03044839193205</v>
      </c>
      <c r="J17" s="45">
        <v>800.59054098420302</v>
      </c>
      <c r="K17" s="45">
        <v>833.47598813511195</v>
      </c>
      <c r="L17" s="45">
        <v>887.90707307454795</v>
      </c>
      <c r="M17" s="45">
        <v>932.13232958783999</v>
      </c>
      <c r="N17" s="45">
        <v>970.68768141993996</v>
      </c>
      <c r="O17" s="16">
        <f t="shared" si="1"/>
        <v>-5.4723202729978215E-2</v>
      </c>
    </row>
    <row r="18" spans="1:16" ht="19.5" customHeight="1">
      <c r="B18" s="29" t="s">
        <v>358</v>
      </c>
      <c r="F18" s="30" t="s">
        <v>126</v>
      </c>
      <c r="G18" s="37" t="s">
        <v>9</v>
      </c>
      <c r="H18" s="47">
        <v>21942.7481536458</v>
      </c>
      <c r="I18" s="47">
        <v>16954.219066129899</v>
      </c>
      <c r="J18" s="47">
        <v>17320.902845927401</v>
      </c>
      <c r="K18" s="47">
        <v>17651.984426482701</v>
      </c>
      <c r="L18" s="47">
        <v>18425.929962869501</v>
      </c>
      <c r="M18" s="47">
        <v>18939.897964763801</v>
      </c>
      <c r="N18" s="47">
        <v>19311.577243530199</v>
      </c>
      <c r="O18" s="16">
        <f t="shared" si="1"/>
        <v>-2.106365132510124</v>
      </c>
    </row>
    <row r="19" spans="1:16" ht="28.5" customHeight="1">
      <c r="B19" s="29" t="s">
        <v>358</v>
      </c>
      <c r="F19" s="30"/>
      <c r="G19" s="32" t="s">
        <v>21</v>
      </c>
      <c r="H19" s="45">
        <v>995.30632379645499</v>
      </c>
      <c r="I19" s="45">
        <v>769.03044839193296</v>
      </c>
      <c r="J19" s="45">
        <v>785.66294502865799</v>
      </c>
      <c r="K19" s="45">
        <v>800.68055305623295</v>
      </c>
      <c r="L19" s="45">
        <v>835.78613241420396</v>
      </c>
      <c r="M19" s="45">
        <v>859.09932905358903</v>
      </c>
      <c r="N19" s="45">
        <v>875.95841771422704</v>
      </c>
      <c r="O19" s="16">
        <f t="shared" si="1"/>
        <v>-2.1063651325101018</v>
      </c>
    </row>
    <row r="20" spans="1:16" ht="0.95" customHeight="1">
      <c r="B20" t="s">
        <v>358</v>
      </c>
      <c r="F20" s="30"/>
      <c r="G20" s="32"/>
      <c r="H20" s="45"/>
      <c r="I20" s="45"/>
      <c r="J20" s="45"/>
      <c r="K20" s="45"/>
      <c r="L20" s="45"/>
      <c r="M20" s="45"/>
      <c r="N20" s="45"/>
      <c r="O20" s="16"/>
    </row>
    <row r="21" spans="1:16" ht="0.95" customHeight="1">
      <c r="A21" s="132"/>
      <c r="B21" s="129" t="s">
        <v>358</v>
      </c>
      <c r="C21" s="132"/>
      <c r="D21" s="132"/>
      <c r="E21" s="132"/>
      <c r="F21" s="131"/>
      <c r="G21" s="143"/>
      <c r="H21" s="147" t="str">
        <f t="shared" ref="H21:N21" si="2">CONCATENATE(H$3-1,"-",RIGHT(H$3,2))</f>
        <v>2022-23</v>
      </c>
      <c r="I21" s="147" t="str">
        <f t="shared" si="2"/>
        <v>2023-24</v>
      </c>
      <c r="J21" s="147" t="str">
        <f t="shared" si="2"/>
        <v>2024-25</v>
      </c>
      <c r="K21" s="147" t="str">
        <f t="shared" si="2"/>
        <v>2025-26</v>
      </c>
      <c r="L21" s="147" t="str">
        <f t="shared" si="2"/>
        <v>2026-27</v>
      </c>
      <c r="M21" s="147" t="str">
        <f t="shared" si="2"/>
        <v>2027-28</v>
      </c>
      <c r="N21" s="147" t="str">
        <f t="shared" si="2"/>
        <v>2028-29</v>
      </c>
      <c r="O21" s="141"/>
      <c r="P21" s="132"/>
    </row>
    <row r="22" spans="1:16" ht="0.95" customHeight="1">
      <c r="B22" s="29" t="s">
        <v>358</v>
      </c>
      <c r="F22" s="30"/>
      <c r="H22" s="110"/>
      <c r="I22" s="110"/>
      <c r="J22" s="110"/>
      <c r="K22" s="110"/>
      <c r="L22" s="110"/>
      <c r="M22" s="110"/>
      <c r="N22" s="110"/>
      <c r="O22" s="16"/>
    </row>
    <row r="23" spans="1:16" ht="28.5" customHeight="1">
      <c r="B23" t="s">
        <v>358</v>
      </c>
      <c r="F23" s="30"/>
      <c r="G23" s="32"/>
      <c r="H23" s="45"/>
      <c r="I23" s="45"/>
      <c r="J23" s="45"/>
      <c r="K23" s="45"/>
      <c r="L23" s="45"/>
      <c r="M23" s="45"/>
      <c r="N23" s="45"/>
      <c r="O23" s="16"/>
    </row>
    <row r="24" spans="1:16" ht="28.5" customHeight="1">
      <c r="B24" t="s">
        <v>358</v>
      </c>
      <c r="F24" s="30" t="s">
        <v>0</v>
      </c>
      <c r="G24" s="32" t="s">
        <v>0</v>
      </c>
      <c r="H24" s="52" t="str">
        <f>CONCATENATE(H$3-1,"–",RIGHT(H$3,2))</f>
        <v>2022–23</v>
      </c>
      <c r="I24" s="52" t="str">
        <f>CONCATENATE(CONCATENATE(I$3-1,"–",RIGHT(I$3,2)),IF($A$4&gt;6,""," f"))</f>
        <v>2023–24 f</v>
      </c>
      <c r="J24" s="52" t="str">
        <f>CONCATENATE(CONCATENATE(J$3-1,"–",RIGHT(J$3,2))," f")</f>
        <v>2024–25 f</v>
      </c>
      <c r="K24" s="52" t="str">
        <f>CONCATENATE(CONCATENATE(K$3-1,"–",RIGHT(K$3,2))," f")</f>
        <v>2025–26 f</v>
      </c>
      <c r="L24" s="52" t="str">
        <f>CONCATENATE(CONCATENATE(L$3-1,"–",RIGHT(L$3,2))," z")</f>
        <v>2026–27 z</v>
      </c>
      <c r="M24" s="52" t="str">
        <f>CONCATENATE(CONCATENATE(M$3-1,"–",RIGHT(M$3,2))," z")</f>
        <v>2027–28 z</v>
      </c>
      <c r="N24" s="52" t="str">
        <f>CONCATENATE(CONCATENATE(N$3-1,"–",RIGHT(N$3,2))," z")</f>
        <v>2028–29 z</v>
      </c>
      <c r="O24" s="52" t="s">
        <v>184</v>
      </c>
    </row>
    <row r="25" spans="1:16" ht="20.100000000000001" customHeight="1">
      <c r="B25" t="s">
        <v>358</v>
      </c>
      <c r="F25" s="109" t="s">
        <v>22</v>
      </c>
      <c r="G25" s="32"/>
      <c r="H25" s="45"/>
      <c r="I25" s="45"/>
      <c r="J25" s="45"/>
      <c r="K25" s="45"/>
      <c r="L25" s="45"/>
      <c r="M25" s="45"/>
      <c r="N25" s="45"/>
      <c r="O25" s="16"/>
    </row>
    <row r="26" spans="1:16" ht="20.100000000000001" customHeight="1">
      <c r="B26" t="s">
        <v>358</v>
      </c>
      <c r="F26" s="38" t="s">
        <v>2</v>
      </c>
      <c r="G26" s="32" t="s">
        <v>0</v>
      </c>
      <c r="H26" s="45"/>
      <c r="I26" s="45"/>
      <c r="J26" s="45"/>
      <c r="K26" s="45"/>
      <c r="L26" s="45"/>
      <c r="M26" s="45"/>
      <c r="N26" s="45"/>
      <c r="O26" s="16"/>
    </row>
    <row r="27" spans="1:16" ht="20.100000000000001" customHeight="1">
      <c r="B27" s="29" t="s">
        <v>358</v>
      </c>
      <c r="F27" s="30" t="s">
        <v>197</v>
      </c>
      <c r="G27" s="32" t="s">
        <v>4</v>
      </c>
      <c r="H27" s="45">
        <v>153.4117</v>
      </c>
      <c r="I27" s="45">
        <v>141.11429999999999</v>
      </c>
      <c r="J27" s="45">
        <v>105.75</v>
      </c>
      <c r="K27" s="45">
        <v>122.3625</v>
      </c>
      <c r="L27" s="45">
        <v>162.11250000000001</v>
      </c>
      <c r="M27" s="45">
        <v>199.57499999999999</v>
      </c>
      <c r="N27" s="45">
        <v>230.22499999999999</v>
      </c>
      <c r="O27" s="16">
        <f t="shared" si="1"/>
        <v>6.9996441106282781</v>
      </c>
    </row>
    <row r="28" spans="1:16" ht="20.100000000000001" customHeight="1">
      <c r="B28" s="29" t="s">
        <v>358</v>
      </c>
      <c r="F28" s="30" t="s">
        <v>5</v>
      </c>
      <c r="G28" s="32" t="s">
        <v>4</v>
      </c>
      <c r="H28" s="45">
        <v>96.5</v>
      </c>
      <c r="I28" s="45">
        <v>94.050555555555604</v>
      </c>
      <c r="J28" s="45">
        <v>67.985370370370404</v>
      </c>
      <c r="K28" s="45">
        <v>71.360370370370404</v>
      </c>
      <c r="L28" s="45">
        <v>84.416620370370396</v>
      </c>
      <c r="M28" s="45">
        <v>99.735370370370404</v>
      </c>
      <c r="N28" s="45">
        <v>113.46037037037</v>
      </c>
      <c r="O28" s="16">
        <f>((N28/H28)^(1/6)-1)*100</f>
        <v>2.7352496445438357</v>
      </c>
    </row>
    <row r="29" spans="1:16" ht="20.100000000000001" customHeight="1">
      <c r="B29" s="29" t="s">
        <v>358</v>
      </c>
      <c r="F29" s="30" t="s">
        <v>23</v>
      </c>
      <c r="G29" s="32" t="s">
        <v>4</v>
      </c>
      <c r="H29" s="45">
        <v>37.683999999999997</v>
      </c>
      <c r="I29" s="45">
        <v>40.014499999999998</v>
      </c>
      <c r="J29" s="45">
        <v>27.5</v>
      </c>
      <c r="K29" s="45">
        <v>27.5</v>
      </c>
      <c r="L29" s="45">
        <v>30</v>
      </c>
      <c r="M29" s="45">
        <v>38.125</v>
      </c>
      <c r="N29" s="45">
        <v>56.875</v>
      </c>
      <c r="O29" s="16">
        <f t="shared" si="1"/>
        <v>7.1011339681479102</v>
      </c>
    </row>
    <row r="30" spans="1:16" ht="27.95" customHeight="1">
      <c r="B30" s="29" t="s">
        <v>358</v>
      </c>
      <c r="F30" s="30" t="s">
        <v>198</v>
      </c>
      <c r="G30" s="37" t="s">
        <v>4</v>
      </c>
      <c r="H30" s="45">
        <v>160.54317283423799</v>
      </c>
      <c r="I30" s="45">
        <v>159.24705555555599</v>
      </c>
      <c r="J30" s="45">
        <v>106.93537037036999</v>
      </c>
      <c r="K30" s="45">
        <v>112.11037037037001</v>
      </c>
      <c r="L30" s="45">
        <v>143.76662037036999</v>
      </c>
      <c r="M30" s="45">
        <v>181.51037037037</v>
      </c>
      <c r="N30" s="45">
        <v>213.98537037036999</v>
      </c>
      <c r="O30" s="16">
        <f t="shared" si="1"/>
        <v>4.9056084085579377</v>
      </c>
    </row>
    <row r="31" spans="1:16" ht="20.100000000000001" customHeight="1">
      <c r="B31" s="29" t="s">
        <v>358</v>
      </c>
      <c r="F31" s="30" t="s">
        <v>199</v>
      </c>
      <c r="G31" s="37" t="s">
        <v>16</v>
      </c>
      <c r="H31" s="47">
        <v>4955.9387640306204</v>
      </c>
      <c r="I31" s="47">
        <v>3562.8143636695299</v>
      </c>
      <c r="J31" s="47">
        <v>2448.2914595802399</v>
      </c>
      <c r="K31" s="47">
        <v>2461.7616749623999</v>
      </c>
      <c r="L31" s="47">
        <v>3086.9890370370399</v>
      </c>
      <c r="M31" s="47">
        <v>3859.0302592592602</v>
      </c>
      <c r="N31" s="47">
        <v>4377.3203456790097</v>
      </c>
      <c r="O31" s="16">
        <f t="shared" si="1"/>
        <v>-2.0479040799910142</v>
      </c>
    </row>
    <row r="32" spans="1:16" ht="20.100000000000001" customHeight="1">
      <c r="B32" s="29" t="s">
        <v>358</v>
      </c>
      <c r="F32" s="30" t="s">
        <v>131</v>
      </c>
      <c r="G32" s="37" t="s">
        <v>16</v>
      </c>
      <c r="H32" s="47">
        <v>5155.1019575788796</v>
      </c>
      <c r="I32" s="47">
        <v>3562.8143636695299</v>
      </c>
      <c r="J32" s="47">
        <v>2372.9623368151501</v>
      </c>
      <c r="K32" s="47">
        <v>2321.9008912249501</v>
      </c>
      <c r="L32" s="47">
        <v>2840.5922233173901</v>
      </c>
      <c r="M32" s="47">
        <v>3464.4007596286501</v>
      </c>
      <c r="N32" s="47">
        <v>3833.8437283019498</v>
      </c>
      <c r="O32" s="16">
        <f t="shared" si="1"/>
        <v>-4.8155091356785977</v>
      </c>
    </row>
    <row r="33" spans="2:16" ht="9.9499999999999993" customHeight="1">
      <c r="B33" t="s">
        <v>358</v>
      </c>
      <c r="F33" s="30"/>
      <c r="G33" s="37" t="s">
        <v>0</v>
      </c>
      <c r="O33" s="16"/>
    </row>
    <row r="34" spans="2:16" ht="9.9499999999999993" customHeight="1">
      <c r="B34" t="s">
        <v>358</v>
      </c>
      <c r="F34" s="30"/>
      <c r="G34" s="37" t="s">
        <v>0</v>
      </c>
      <c r="O34" s="16"/>
      <c r="P34" s="29" t="s">
        <v>358</v>
      </c>
    </row>
    <row r="35" spans="2:16" ht="18" customHeight="1">
      <c r="B35" t="s">
        <v>358</v>
      </c>
      <c r="F35" s="16" t="s">
        <v>119</v>
      </c>
      <c r="O35" s="35"/>
    </row>
    <row r="36" spans="2:16" ht="18" customHeight="1">
      <c r="B36" t="s">
        <v>358</v>
      </c>
      <c r="E36" s="39" t="s">
        <v>254</v>
      </c>
      <c r="F36" s="24" t="s">
        <v>336</v>
      </c>
    </row>
    <row r="37" spans="2:16" ht="18" customHeight="1">
      <c r="B37" t="s">
        <v>358</v>
      </c>
      <c r="E37" s="39" t="s">
        <v>255</v>
      </c>
      <c r="F37" s="42" t="s">
        <v>310</v>
      </c>
    </row>
    <row r="38" spans="2:16" ht="18" customHeight="1">
      <c r="B38" t="s">
        <v>358</v>
      </c>
      <c r="E38" s="39" t="s">
        <v>256</v>
      </c>
      <c r="F38" s="42" t="s">
        <v>311</v>
      </c>
    </row>
    <row r="39" spans="2:16" ht="18" customHeight="1">
      <c r="B39" t="s">
        <v>358</v>
      </c>
      <c r="E39" s="39" t="s">
        <v>257</v>
      </c>
      <c r="F39" s="42" t="s">
        <v>278</v>
      </c>
      <c r="P39" s="29" t="s">
        <v>358</v>
      </c>
    </row>
    <row r="40" spans="2:16" ht="18" customHeight="1">
      <c r="B40" t="s">
        <v>358</v>
      </c>
      <c r="E40" s="39" t="s">
        <v>260</v>
      </c>
      <c r="F40" s="42" t="s">
        <v>296</v>
      </c>
    </row>
    <row r="41" spans="2:16" ht="18" customHeight="1">
      <c r="B41" t="s">
        <v>358</v>
      </c>
      <c r="E41" s="39" t="s">
        <v>261</v>
      </c>
      <c r="F41" s="29" t="str">
        <f>CONCATENATE("Compound annual growth rate (per cent), for the period from ", $A$3 - 1, " to ", $A$3+ 5, " or for the equivalent financial years.")</f>
        <v>Compound annual growth rate (per cent), for the period from 2023 to 2029 or for the equivalent financial years.</v>
      </c>
    </row>
    <row r="42" spans="2:16" ht="18" customHeight="1">
      <c r="B42" t="s">
        <v>358</v>
      </c>
      <c r="E42" s="39" t="s">
        <v>262</v>
      </c>
      <c r="F42" s="42" t="s">
        <v>298</v>
      </c>
    </row>
    <row r="43" spans="2:16" ht="18" customHeight="1">
      <c r="F43" s="29" t="s">
        <v>332</v>
      </c>
    </row>
  </sheetData>
  <pageMargins left="0" right="0" top="0" bottom="0" header="0" footer="0"/>
  <pageSetup paperSize="9" scale="73" fitToHeight="0"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1"/>
  <sheetViews>
    <sheetView topLeftCell="A2" zoomScale="90" zoomScaleNormal="90" workbookViewId="0">
      <selection activeCell="S16" sqref="S16"/>
    </sheetView>
  </sheetViews>
  <sheetFormatPr defaultColWidth="10.625" defaultRowHeight="14.25"/>
  <cols>
    <col min="1" max="1" width="14.625" customWidth="1"/>
    <col min="4" max="4" width="11.625" customWidth="1"/>
    <col min="5" max="5" width="1.875" customWidth="1"/>
    <col min="6" max="6" width="27.625" customWidth="1"/>
    <col min="7" max="7" width="9.625" customWidth="1"/>
    <col min="8" max="14" width="12.62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2"/>
      <c r="I2" s="132"/>
      <c r="J2" s="132"/>
      <c r="K2" s="132"/>
      <c r="L2" s="132"/>
      <c r="M2" s="132"/>
      <c r="N2" s="132"/>
      <c r="O2" s="132"/>
      <c r="P2" s="132"/>
    </row>
    <row r="3" spans="1:16" ht="18" customHeight="1">
      <c r="A3" s="129">
        <f>YEAR(A2)</f>
        <v>2024</v>
      </c>
      <c r="B3" s="129" t="s">
        <v>358</v>
      </c>
      <c r="C3" s="132"/>
      <c r="D3" s="132"/>
      <c r="E3" s="132"/>
      <c r="F3" s="131"/>
      <c r="G3" s="132"/>
      <c r="H3" s="133">
        <f>A3-1</f>
        <v>2023</v>
      </c>
      <c r="I3" s="133">
        <f t="shared" ref="I3:N3" si="0">H3+1</f>
        <v>2024</v>
      </c>
      <c r="J3" s="133">
        <f t="shared" si="0"/>
        <v>2025</v>
      </c>
      <c r="K3" s="133">
        <f t="shared" si="0"/>
        <v>2026</v>
      </c>
      <c r="L3" s="133">
        <f t="shared" si="0"/>
        <v>2027</v>
      </c>
      <c r="M3" s="133">
        <f t="shared" si="0"/>
        <v>2028</v>
      </c>
      <c r="N3" s="133">
        <f t="shared" si="0"/>
        <v>2029</v>
      </c>
      <c r="O3" s="132"/>
      <c r="P3" s="132"/>
    </row>
    <row r="4" spans="1:16" ht="18" customHeight="1">
      <c r="A4" s="129">
        <f>MONTH(A2)</f>
        <v>3</v>
      </c>
      <c r="B4" s="129" t="s">
        <v>358</v>
      </c>
      <c r="C4" s="132"/>
      <c r="D4" s="132"/>
      <c r="E4" s="132"/>
      <c r="F4" s="132"/>
      <c r="G4" s="132"/>
      <c r="H4" s="132"/>
      <c r="I4" s="132"/>
      <c r="J4" s="132"/>
      <c r="K4" s="132"/>
      <c r="L4" s="132"/>
      <c r="M4" s="132"/>
      <c r="N4" s="132"/>
      <c r="O4" s="133"/>
      <c r="P4" s="132"/>
    </row>
    <row r="5" spans="1:16">
      <c r="B5" t="s">
        <v>358</v>
      </c>
    </row>
    <row r="6" spans="1:16" ht="18" customHeight="1">
      <c r="B6" t="s">
        <v>358</v>
      </c>
      <c r="D6" s="29" t="s">
        <v>358</v>
      </c>
      <c r="F6" s="12" t="s">
        <v>80</v>
      </c>
      <c r="G6" s="62"/>
      <c r="H6" s="62" t="s">
        <v>0</v>
      </c>
      <c r="I6" s="62"/>
      <c r="J6" s="62"/>
      <c r="K6" s="62"/>
      <c r="L6" s="62"/>
      <c r="M6" s="62"/>
      <c r="N6" s="62"/>
    </row>
    <row r="7" spans="1:16" ht="20.100000000000001" customHeight="1">
      <c r="B7" t="s">
        <v>358</v>
      </c>
      <c r="D7" s="29" t="s">
        <v>358</v>
      </c>
      <c r="F7" s="51"/>
      <c r="G7" s="52" t="s">
        <v>1</v>
      </c>
      <c r="H7" s="135" t="str">
        <f>CONCATENATE(H3)</f>
        <v>2023</v>
      </c>
      <c r="I7" s="52" t="str">
        <f>CONCATENATE(I3," f")</f>
        <v>2024 f</v>
      </c>
      <c r="J7" s="52" t="str">
        <f>CONCATENATE(J3," f")</f>
        <v>2025 f</v>
      </c>
      <c r="K7" s="52" t="str">
        <f>CONCATENATE(K3," f")</f>
        <v>2026 f</v>
      </c>
      <c r="L7" s="52" t="str">
        <f>CONCATENATE(L3," z")</f>
        <v>2027 z</v>
      </c>
      <c r="M7" s="52" t="str">
        <f>CONCATENATE(M3," z")</f>
        <v>2028 z</v>
      </c>
      <c r="N7" s="52" t="str">
        <f>CONCATENATE(N3," z")</f>
        <v>2029 z</v>
      </c>
      <c r="O7" s="41" t="s">
        <v>184</v>
      </c>
    </row>
    <row r="8" spans="1:16" ht="27.95" customHeight="1">
      <c r="B8" t="s">
        <v>358</v>
      </c>
      <c r="F8" s="43" t="s">
        <v>17</v>
      </c>
      <c r="H8" s="45"/>
      <c r="I8" s="45"/>
      <c r="J8" s="45"/>
      <c r="K8" s="45"/>
      <c r="L8" s="45"/>
      <c r="M8" s="45"/>
      <c r="N8" s="45"/>
    </row>
    <row r="9" spans="1:16" ht="20.100000000000001" customHeight="1">
      <c r="B9" t="s">
        <v>358</v>
      </c>
      <c r="F9" s="30" t="s">
        <v>2</v>
      </c>
      <c r="G9" s="32"/>
      <c r="H9" s="45"/>
      <c r="I9" s="45"/>
      <c r="J9" s="45"/>
      <c r="K9" s="45"/>
      <c r="L9" s="45"/>
      <c r="M9" s="45"/>
      <c r="N9" s="45"/>
      <c r="O9" s="16"/>
    </row>
    <row r="10" spans="1:16" ht="20.100000000000001" customHeight="1">
      <c r="B10" s="29" t="s">
        <v>358</v>
      </c>
      <c r="F10" s="81" t="s">
        <v>3</v>
      </c>
      <c r="G10" s="32" t="s">
        <v>4</v>
      </c>
      <c r="H10" s="47">
        <v>12255.859200586399</v>
      </c>
      <c r="I10" s="47">
        <v>12774.0200707207</v>
      </c>
      <c r="J10" s="47">
        <v>12998.6912245246</v>
      </c>
      <c r="K10" s="47">
        <v>13235.498703954299</v>
      </c>
      <c r="L10" s="47">
        <v>13464.139236311101</v>
      </c>
      <c r="M10" s="47">
        <v>13667.665715717199</v>
      </c>
      <c r="N10" s="47">
        <v>13866.5081964122</v>
      </c>
      <c r="O10" s="16">
        <f>((N10/H10)^(1/6)-1)*100</f>
        <v>2.0791922783641059</v>
      </c>
    </row>
    <row r="11" spans="1:16" ht="20.100000000000001" customHeight="1">
      <c r="B11" s="29" t="s">
        <v>358</v>
      </c>
      <c r="F11" s="81" t="s">
        <v>5</v>
      </c>
      <c r="G11" s="32" t="s">
        <v>4</v>
      </c>
      <c r="H11" s="47">
        <v>13863.385</v>
      </c>
      <c r="I11" s="47">
        <v>13959.6402109478</v>
      </c>
      <c r="J11" s="47">
        <v>14195.392114080199</v>
      </c>
      <c r="K11" s="47">
        <v>14442.9971669884</v>
      </c>
      <c r="L11" s="47">
        <v>14683.050125013</v>
      </c>
      <c r="M11" s="47">
        <v>14899.3540004642</v>
      </c>
      <c r="N11" s="47">
        <v>15111.4413473195</v>
      </c>
      <c r="O11" s="16">
        <f t="shared" ref="O11:O34" si="1">((N11/H11)^(1/6)-1)*100</f>
        <v>1.4470527239759612</v>
      </c>
    </row>
    <row r="12" spans="1:16" ht="27.95" customHeight="1">
      <c r="B12" s="29" t="s">
        <v>358</v>
      </c>
      <c r="F12" s="30" t="s">
        <v>6</v>
      </c>
      <c r="G12" s="32" t="s">
        <v>4</v>
      </c>
      <c r="H12" s="47">
        <v>13658.638000000001</v>
      </c>
      <c r="I12" s="47">
        <v>13875.5098109478</v>
      </c>
      <c r="J12" s="47">
        <v>14099.0767119866</v>
      </c>
      <c r="K12" s="47">
        <v>14343.560045918501</v>
      </c>
      <c r="L12" s="47">
        <v>14575.8951057786</v>
      </c>
      <c r="M12" s="47">
        <v>14783.222728016</v>
      </c>
      <c r="N12" s="47">
        <v>14985.7358607969</v>
      </c>
      <c r="O12" s="16">
        <f t="shared" si="1"/>
        <v>1.5574481503294324</v>
      </c>
    </row>
    <row r="13" spans="1:16" ht="27.95" customHeight="1">
      <c r="B13" s="29" t="s">
        <v>358</v>
      </c>
      <c r="F13" s="30" t="s">
        <v>18</v>
      </c>
      <c r="G13" s="32" t="s">
        <v>4</v>
      </c>
      <c r="H13" s="47">
        <v>824</v>
      </c>
      <c r="I13" s="47">
        <v>908.13040000000001</v>
      </c>
      <c r="J13" s="47">
        <v>1004.4458020936</v>
      </c>
      <c r="K13" s="47">
        <v>1103.88292316346</v>
      </c>
      <c r="L13" s="47">
        <v>1211.03794239786</v>
      </c>
      <c r="M13" s="47">
        <v>1327.16921484615</v>
      </c>
      <c r="N13" s="47">
        <v>1452.87470136874</v>
      </c>
      <c r="O13" s="16">
        <f t="shared" si="1"/>
        <v>9.9132775092511061</v>
      </c>
    </row>
    <row r="14" spans="1:16" ht="20.100000000000001" customHeight="1">
      <c r="B14" s="29" t="s">
        <v>358</v>
      </c>
      <c r="F14" s="30" t="s">
        <v>111</v>
      </c>
      <c r="G14" s="32"/>
      <c r="H14" s="59">
        <v>3.1370624215972298</v>
      </c>
      <c r="I14" s="59">
        <v>3.4033186126783699</v>
      </c>
      <c r="J14" s="59">
        <v>3.7045817095570399</v>
      </c>
      <c r="K14" s="59">
        <v>4.0019292156715203</v>
      </c>
      <c r="L14" s="59">
        <v>4.32041892094316</v>
      </c>
      <c r="M14" s="59">
        <v>4.6683189749425997</v>
      </c>
      <c r="N14" s="59">
        <v>5.0414264052801103</v>
      </c>
      <c r="O14" s="16"/>
    </row>
    <row r="15" spans="1:16" ht="27.95" customHeight="1">
      <c r="B15" t="s">
        <v>358</v>
      </c>
      <c r="F15" s="30" t="s">
        <v>7</v>
      </c>
      <c r="G15" s="32"/>
      <c r="H15" s="45"/>
      <c r="I15" s="45"/>
      <c r="J15" s="78"/>
      <c r="K15" s="45"/>
      <c r="L15" s="45"/>
      <c r="M15" s="45"/>
      <c r="N15" s="45"/>
      <c r="O15" s="16"/>
    </row>
    <row r="16" spans="1:16" ht="20.100000000000001" customHeight="1">
      <c r="B16" s="29" t="s">
        <v>358</v>
      </c>
      <c r="F16" s="30" t="s">
        <v>8</v>
      </c>
      <c r="G16" s="32" t="s">
        <v>9</v>
      </c>
      <c r="H16" s="47">
        <v>2660.0506975364801</v>
      </c>
      <c r="I16" s="47">
        <v>2593.4901606251801</v>
      </c>
      <c r="J16" s="47">
        <v>2646.41125290319</v>
      </c>
      <c r="K16" s="47">
        <v>2733.2079041250099</v>
      </c>
      <c r="L16" s="47">
        <v>2841.4067884861302</v>
      </c>
      <c r="M16" s="47">
        <v>2916.8668625471801</v>
      </c>
      <c r="N16" s="47">
        <v>3044.8091096816001</v>
      </c>
      <c r="O16" s="16">
        <f t="shared" si="1"/>
        <v>2.2770891695219397</v>
      </c>
    </row>
    <row r="17" spans="1:16" ht="20.100000000000001" customHeight="1">
      <c r="B17" s="29" t="s">
        <v>358</v>
      </c>
      <c r="F17" s="30"/>
      <c r="G17" s="32" t="s">
        <v>10</v>
      </c>
      <c r="H17" s="45">
        <v>120.658013514187</v>
      </c>
      <c r="I17" s="45">
        <v>117.638874755068</v>
      </c>
      <c r="J17" s="45">
        <v>120.039337976757</v>
      </c>
      <c r="K17" s="45">
        <v>123.976372532455</v>
      </c>
      <c r="L17" s="45">
        <v>128.88419720796</v>
      </c>
      <c r="M17" s="45">
        <v>132.30701266191801</v>
      </c>
      <c r="N17" s="45">
        <v>138.110382273662</v>
      </c>
      <c r="O17" s="16">
        <f t="shared" si="1"/>
        <v>2.2770891695220508</v>
      </c>
    </row>
    <row r="18" spans="1:16" ht="20.100000000000001" customHeight="1">
      <c r="B18" s="29" t="s">
        <v>358</v>
      </c>
      <c r="F18" s="30" t="s">
        <v>249</v>
      </c>
      <c r="G18" s="32" t="s">
        <v>9</v>
      </c>
      <c r="H18" s="47">
        <v>2718.57181288228</v>
      </c>
      <c r="I18" s="47">
        <v>2593.4901606251801</v>
      </c>
      <c r="J18" s="47">
        <v>2597.0669802779098</v>
      </c>
      <c r="K18" s="47">
        <v>2625.6622235621298</v>
      </c>
      <c r="L18" s="47">
        <v>2674.6136644019002</v>
      </c>
      <c r="M18" s="47">
        <v>2688.32899043524</v>
      </c>
      <c r="N18" s="47">
        <v>2747.6666501598502</v>
      </c>
      <c r="O18" s="16">
        <f t="shared" si="1"/>
        <v>0.17758060523347385</v>
      </c>
    </row>
    <row r="19" spans="1:16" ht="15" customHeight="1">
      <c r="B19" s="29" t="s">
        <v>358</v>
      </c>
      <c r="F19" s="30"/>
      <c r="G19" s="32" t="s">
        <v>10</v>
      </c>
      <c r="H19" s="45">
        <v>123.31248981149901</v>
      </c>
      <c r="I19" s="45">
        <v>117.638874755068</v>
      </c>
      <c r="J19" s="45">
        <v>117.801116758349</v>
      </c>
      <c r="K19" s="45">
        <v>119.09817671808</v>
      </c>
      <c r="L19" s="45">
        <v>121.31857936523799</v>
      </c>
      <c r="M19" s="45">
        <v>121.94069682916999</v>
      </c>
      <c r="N19" s="45">
        <v>124.632211000528</v>
      </c>
      <c r="O19" s="16">
        <f t="shared" si="1"/>
        <v>0.17758060523347385</v>
      </c>
    </row>
    <row r="20" spans="1:16" ht="15" customHeight="1">
      <c r="B20" t="s">
        <v>358</v>
      </c>
      <c r="F20" s="30"/>
      <c r="G20" s="32"/>
      <c r="H20" s="45"/>
      <c r="I20" s="45"/>
      <c r="J20" s="45"/>
      <c r="K20" s="45"/>
      <c r="L20" s="45"/>
      <c r="M20" s="45"/>
      <c r="N20" s="45"/>
      <c r="O20" s="16"/>
    </row>
    <row r="21" spans="1:16" ht="15" customHeight="1">
      <c r="A21" s="132"/>
      <c r="B21" s="129" t="s">
        <v>358</v>
      </c>
      <c r="C21" s="132"/>
      <c r="D21" s="132"/>
      <c r="E21" s="132"/>
      <c r="F21" s="131"/>
      <c r="G21" s="132"/>
      <c r="H21" s="147" t="str">
        <f t="shared" ref="H21:N21" si="2">CONCATENATE(H$3-1,"-",RIGHT(H$3,2))</f>
        <v>2022-23</v>
      </c>
      <c r="I21" s="147" t="str">
        <f t="shared" si="2"/>
        <v>2023-24</v>
      </c>
      <c r="J21" s="147" t="str">
        <f t="shared" si="2"/>
        <v>2024-25</v>
      </c>
      <c r="K21" s="147" t="str">
        <f t="shared" si="2"/>
        <v>2025-26</v>
      </c>
      <c r="L21" s="147" t="str">
        <f t="shared" si="2"/>
        <v>2026-27</v>
      </c>
      <c r="M21" s="147" t="str">
        <f t="shared" si="2"/>
        <v>2027-28</v>
      </c>
      <c r="N21" s="147" t="str">
        <f t="shared" si="2"/>
        <v>2028-29</v>
      </c>
      <c r="O21" s="141"/>
      <c r="P21" s="132"/>
    </row>
    <row r="22" spans="1:16" ht="15" customHeight="1">
      <c r="B22" s="29" t="s">
        <v>358</v>
      </c>
      <c r="F22" s="30"/>
      <c r="H22" s="45"/>
      <c r="I22" s="45"/>
      <c r="J22" s="45"/>
      <c r="K22" s="45"/>
      <c r="L22" s="45"/>
      <c r="M22" s="45"/>
      <c r="N22" s="45"/>
      <c r="O22" s="16"/>
    </row>
    <row r="23" spans="1:16" ht="15" customHeight="1">
      <c r="B23" t="s">
        <v>358</v>
      </c>
      <c r="F23" s="30"/>
      <c r="G23" s="32"/>
      <c r="H23" s="45"/>
      <c r="I23" s="45"/>
      <c r="J23" s="45"/>
      <c r="K23" s="45"/>
      <c r="L23" s="45"/>
      <c r="M23" s="45"/>
      <c r="N23" s="45"/>
      <c r="O23" s="16"/>
    </row>
    <row r="24" spans="1:16" ht="20.100000000000001" customHeight="1">
      <c r="B24" t="s">
        <v>358</v>
      </c>
      <c r="F24" s="43"/>
      <c r="G24" s="54"/>
      <c r="H24" s="52" t="str">
        <f>CONCATENATE(H$3-1,"–",RIGHT(H$3,2))</f>
        <v>2022–23</v>
      </c>
      <c r="I24" s="52" t="str">
        <f>CONCATENATE(CONCATENATE(I$3-1,"–",RIGHT(I$3,2)),IF($A$4&gt;6,""," f"))</f>
        <v>2023–24 f</v>
      </c>
      <c r="J24" s="52" t="str">
        <f>CONCATENATE(CONCATENATE(J$3-1,"–",RIGHT(J$3,2))," f")</f>
        <v>2024–25 f</v>
      </c>
      <c r="K24" s="52" t="str">
        <f>CONCATENATE(CONCATENATE(K$3-1,"–",RIGHT(K$3,2))," f")</f>
        <v>2025–26 f</v>
      </c>
      <c r="L24" s="52" t="str">
        <f>CONCATENATE(CONCATENATE(L$3-1,"–",RIGHT(L$3,2))," z")</f>
        <v>2026–27 z</v>
      </c>
      <c r="M24" s="52" t="str">
        <f>CONCATENATE(CONCATENATE(M$3-1,"–",RIGHT(M$3,2))," z")</f>
        <v>2027–28 z</v>
      </c>
      <c r="N24" s="52" t="str">
        <f>CONCATENATE(CONCATENATE(N$3-1,"–",RIGHT(N$3,2))," z")</f>
        <v>2028–29 z</v>
      </c>
      <c r="O24" s="52" t="s">
        <v>184</v>
      </c>
    </row>
    <row r="25" spans="1:16" ht="20.100000000000001" customHeight="1">
      <c r="B25" t="s">
        <v>358</v>
      </c>
      <c r="F25" s="43" t="s">
        <v>135</v>
      </c>
      <c r="H25" s="45"/>
      <c r="I25" s="45"/>
      <c r="J25" s="45"/>
      <c r="K25" s="45"/>
      <c r="L25" s="45"/>
      <c r="M25" s="45"/>
      <c r="N25" s="45"/>
      <c r="O25" s="16"/>
    </row>
    <row r="26" spans="1:16" ht="20.100000000000001" customHeight="1">
      <c r="B26" s="29" t="s">
        <v>358</v>
      </c>
      <c r="F26" s="30" t="s">
        <v>11</v>
      </c>
      <c r="G26" s="32" t="s">
        <v>4</v>
      </c>
      <c r="H26" s="47">
        <v>1154.3854319444399</v>
      </c>
      <c r="I26" s="47">
        <v>1188.4047333822</v>
      </c>
      <c r="J26" s="47">
        <v>1252.44</v>
      </c>
      <c r="K26" s="47">
        <v>1236.76</v>
      </c>
      <c r="L26" s="47">
        <v>1198.9925000000001</v>
      </c>
      <c r="M26" s="47">
        <v>1177.29</v>
      </c>
      <c r="N26" s="47">
        <v>1133.5150000000001</v>
      </c>
      <c r="O26" s="16">
        <f t="shared" si="1"/>
        <v>-0.30361622721706283</v>
      </c>
    </row>
    <row r="27" spans="1:16" ht="20.100000000000001" customHeight="1">
      <c r="B27" s="29" t="s">
        <v>358</v>
      </c>
      <c r="F27" s="30" t="s">
        <v>12</v>
      </c>
      <c r="G27" s="32" t="s">
        <v>4</v>
      </c>
      <c r="H27" s="47">
        <v>424.39968051200498</v>
      </c>
      <c r="I27" s="47">
        <v>482.27293641218301</v>
      </c>
      <c r="J27" s="47">
        <v>520</v>
      </c>
      <c r="K27" s="47">
        <v>525</v>
      </c>
      <c r="L27" s="47">
        <v>525</v>
      </c>
      <c r="M27" s="47">
        <v>525</v>
      </c>
      <c r="N27" s="47">
        <v>525</v>
      </c>
      <c r="O27" s="16">
        <f t="shared" si="1"/>
        <v>3.6089746632088415</v>
      </c>
    </row>
    <row r="28" spans="1:16" ht="27.95" customHeight="1">
      <c r="B28" t="s">
        <v>358</v>
      </c>
      <c r="F28" s="30" t="s">
        <v>39</v>
      </c>
      <c r="G28" s="32" t="s">
        <v>0</v>
      </c>
      <c r="H28" s="47"/>
      <c r="I28" s="47"/>
      <c r="J28" s="47"/>
      <c r="K28" s="47"/>
      <c r="L28" s="47"/>
      <c r="M28" s="47"/>
      <c r="N28" s="47"/>
      <c r="O28" s="16"/>
    </row>
    <row r="29" spans="1:16" ht="20.100000000000001" customHeight="1">
      <c r="B29" s="29" t="s">
        <v>358</v>
      </c>
      <c r="F29" s="30" t="s">
        <v>250</v>
      </c>
      <c r="G29" s="32" t="s">
        <v>4</v>
      </c>
      <c r="H29" s="47">
        <v>1885.8037300000001</v>
      </c>
      <c r="I29" s="112">
        <v>2102.7501017069799</v>
      </c>
      <c r="J29" s="112">
        <v>1885.3154361607101</v>
      </c>
      <c r="K29" s="112">
        <v>1839.19250582209</v>
      </c>
      <c r="L29" s="112">
        <v>1754.9590545859301</v>
      </c>
      <c r="M29" s="112">
        <v>1706.55562636185</v>
      </c>
      <c r="N29" s="112">
        <v>1608.92355307495</v>
      </c>
      <c r="O29" s="16">
        <f t="shared" si="1"/>
        <v>-2.6117669159579471</v>
      </c>
    </row>
    <row r="30" spans="1:16" ht="20.100000000000001" customHeight="1">
      <c r="B30" s="29" t="s">
        <v>358</v>
      </c>
      <c r="F30" s="38" t="s">
        <v>5</v>
      </c>
      <c r="G30" s="32" t="s">
        <v>4</v>
      </c>
      <c r="H30" s="47">
        <v>388.22561999999999</v>
      </c>
      <c r="I30" s="111">
        <v>454.41177024580099</v>
      </c>
      <c r="J30" s="111">
        <v>486.81634084629599</v>
      </c>
      <c r="K30" s="111">
        <v>491.81634084629599</v>
      </c>
      <c r="L30" s="111">
        <v>491.81634084629599</v>
      </c>
      <c r="M30" s="111">
        <v>491.81634084629599</v>
      </c>
      <c r="N30" s="111">
        <v>491.81634084629599</v>
      </c>
      <c r="O30" s="16">
        <f t="shared" si="1"/>
        <v>4.0207051926666848</v>
      </c>
    </row>
    <row r="31" spans="1:16" ht="20.100000000000001" customHeight="1">
      <c r="B31" s="29" t="s">
        <v>358</v>
      </c>
      <c r="F31" s="38" t="s">
        <v>14</v>
      </c>
      <c r="G31" s="32" t="s">
        <v>4</v>
      </c>
      <c r="H31" s="47">
        <v>1247.45891871514</v>
      </c>
      <c r="I31" s="112">
        <v>1400.07529063121</v>
      </c>
      <c r="J31" s="112">
        <v>1332.1295708072801</v>
      </c>
      <c r="K31" s="112">
        <v>1316.44957080727</v>
      </c>
      <c r="L31" s="112">
        <v>1278.6820708072801</v>
      </c>
      <c r="M31" s="112">
        <v>1256.97957080727</v>
      </c>
      <c r="N31" s="112">
        <v>1213.2045708072701</v>
      </c>
      <c r="O31" s="16">
        <f t="shared" si="1"/>
        <v>-0.4629808047191708</v>
      </c>
    </row>
    <row r="32" spans="1:16" ht="27.95" customHeight="1">
      <c r="B32" t="s">
        <v>358</v>
      </c>
      <c r="F32" s="30" t="s">
        <v>24</v>
      </c>
      <c r="G32" s="32"/>
      <c r="H32" s="47"/>
      <c r="I32" s="47"/>
      <c r="J32" s="47"/>
      <c r="K32" s="47"/>
      <c r="L32" s="47"/>
      <c r="M32" s="47"/>
      <c r="N32" s="47"/>
      <c r="O32" s="16"/>
    </row>
    <row r="33" spans="2:16" ht="20.100000000000001" customHeight="1">
      <c r="B33" s="29" t="s">
        <v>358</v>
      </c>
      <c r="F33" s="30" t="s">
        <v>8</v>
      </c>
      <c r="G33" s="32" t="s">
        <v>16</v>
      </c>
      <c r="H33" s="47">
        <v>4315.2715349999999</v>
      </c>
      <c r="I33" s="47">
        <v>3974.01669750356</v>
      </c>
      <c r="J33" s="47">
        <v>3873.3246291298401</v>
      </c>
      <c r="K33" s="47">
        <v>3719.9606434157799</v>
      </c>
      <c r="L33" s="61">
        <v>3687.48053950745</v>
      </c>
      <c r="M33" s="61">
        <v>3754.1047625195802</v>
      </c>
      <c r="N33" s="47">
        <v>3774.4234334564799</v>
      </c>
      <c r="O33" s="16">
        <f t="shared" si="1"/>
        <v>-2.2071547675676539</v>
      </c>
    </row>
    <row r="34" spans="2:16" ht="20.100000000000001" customHeight="1">
      <c r="B34" s="29" t="s">
        <v>358</v>
      </c>
      <c r="F34" s="30" t="s">
        <v>124</v>
      </c>
      <c r="G34" s="32" t="s">
        <v>16</v>
      </c>
      <c r="H34" s="47">
        <v>4488.6883790853699</v>
      </c>
      <c r="I34" s="47">
        <v>3974.01669750356</v>
      </c>
      <c r="J34" s="47">
        <v>3754.1500327577301</v>
      </c>
      <c r="K34" s="47">
        <v>3508.6174348703998</v>
      </c>
      <c r="L34" s="47">
        <v>3393.1537878776799</v>
      </c>
      <c r="M34" s="47">
        <v>3370.2050819095698</v>
      </c>
      <c r="N34" s="47">
        <v>3305.8009159867302</v>
      </c>
      <c r="O34" s="16">
        <f t="shared" si="1"/>
        <v>-4.9702602461515921</v>
      </c>
    </row>
    <row r="35" spans="2:16" ht="9.9499999999999993" customHeight="1">
      <c r="B35" t="s">
        <v>358</v>
      </c>
      <c r="F35" s="30"/>
      <c r="G35" s="32"/>
      <c r="H35" s="36"/>
      <c r="I35" s="36"/>
      <c r="J35" s="36"/>
      <c r="K35" s="36"/>
      <c r="L35" s="36"/>
      <c r="M35" s="36"/>
      <c r="N35" s="36"/>
      <c r="O35" s="35"/>
    </row>
    <row r="36" spans="2:16" ht="9.9499999999999993" customHeight="1">
      <c r="B36" t="s">
        <v>358</v>
      </c>
      <c r="F36" s="30"/>
      <c r="P36" s="29" t="s">
        <v>358</v>
      </c>
    </row>
    <row r="37" spans="2:16" ht="18" customHeight="1">
      <c r="B37" t="s">
        <v>358</v>
      </c>
      <c r="F37" s="16" t="s">
        <v>119</v>
      </c>
    </row>
    <row r="38" spans="2:16" ht="18" customHeight="1">
      <c r="B38" t="s">
        <v>358</v>
      </c>
      <c r="E38" s="39" t="s">
        <v>269</v>
      </c>
      <c r="F38" s="24" t="s">
        <v>336</v>
      </c>
    </row>
    <row r="39" spans="2:16" ht="18" customHeight="1">
      <c r="B39" t="s">
        <v>358</v>
      </c>
      <c r="E39" s="39" t="s">
        <v>254</v>
      </c>
      <c r="F39" s="30" t="s">
        <v>309</v>
      </c>
    </row>
    <row r="40" spans="2:16" ht="18" customHeight="1">
      <c r="B40" t="s">
        <v>358</v>
      </c>
      <c r="E40" s="39" t="s">
        <v>255</v>
      </c>
      <c r="F40" s="42" t="s">
        <v>278</v>
      </c>
    </row>
    <row r="41" spans="2:16" ht="18" customHeight="1">
      <c r="B41" t="s">
        <v>358</v>
      </c>
      <c r="E41" s="39" t="s">
        <v>260</v>
      </c>
      <c r="F41" s="30" t="s">
        <v>296</v>
      </c>
    </row>
    <row r="42" spans="2:16" ht="18" customHeight="1">
      <c r="B42" t="s">
        <v>358</v>
      </c>
      <c r="E42" s="39" t="s">
        <v>261</v>
      </c>
      <c r="F42" s="29" t="str">
        <f>CONCATENATE("Compound annual growth rate (per cent), for the period from ", $A$3 - 1, " to ", $A$3+ 5, " or for the equivalent financial years.")</f>
        <v>Compound annual growth rate (per cent), for the period from 2023 to 2029 or for the equivalent financial years.</v>
      </c>
    </row>
    <row r="43" spans="2:16" ht="18" customHeight="1">
      <c r="B43" t="s">
        <v>358</v>
      </c>
      <c r="E43" s="39" t="s">
        <v>262</v>
      </c>
      <c r="F43" s="42" t="s">
        <v>298</v>
      </c>
    </row>
    <row r="44" spans="2:16" ht="18" customHeight="1">
      <c r="B44" t="s">
        <v>358</v>
      </c>
      <c r="F44" s="42" t="s">
        <v>333</v>
      </c>
    </row>
    <row r="45" spans="2:16" ht="18" customHeight="1">
      <c r="P45" s="29" t="s">
        <v>358</v>
      </c>
    </row>
    <row r="50" spans="6:6" ht="18" customHeight="1">
      <c r="F50" s="76"/>
    </row>
    <row r="51" spans="6:6" ht="18" customHeight="1">
      <c r="F51" s="77"/>
    </row>
  </sheetData>
  <pageMargins left="0" right="0" top="0" bottom="0" header="0" footer="0"/>
  <pageSetup paperSize="9" scale="73" fitToHeight="0"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76"/>
  <sheetViews>
    <sheetView zoomScale="90" zoomScaleNormal="90" workbookViewId="0">
      <selection activeCell="H31" sqref="H31"/>
    </sheetView>
  </sheetViews>
  <sheetFormatPr defaultColWidth="10.625" defaultRowHeight="14.25"/>
  <cols>
    <col min="1" max="1" width="17.875" customWidth="1"/>
    <col min="2" max="2" width="10" customWidth="1"/>
    <col min="3" max="3" width="7.875" customWidth="1"/>
    <col min="4" max="4" width="7.625" customWidth="1"/>
    <col min="5" max="5" width="2.125" customWidth="1"/>
    <col min="6" max="6" width="18.25" customWidth="1"/>
    <col min="7" max="7" width="7.625" customWidth="1"/>
    <col min="8" max="15" width="12.625" customWidth="1"/>
    <col min="16" max="17" width="9.375" customWidth="1"/>
  </cols>
  <sheetData>
    <row r="1" spans="1:20" ht="59.25" customHeight="1">
      <c r="A1" s="168"/>
      <c r="B1" s="168"/>
      <c r="C1" s="168"/>
      <c r="H1" s="134" t="str">
        <f>HYPERLINK("#'Contents'!A1", "Back to Table of Contents")</f>
        <v>Back to Table of Contents</v>
      </c>
    </row>
    <row r="2" spans="1:20">
      <c r="A2" s="149" t="s">
        <v>357</v>
      </c>
      <c r="B2" s="150"/>
      <c r="C2" s="150"/>
      <c r="D2" s="150"/>
      <c r="E2" s="150"/>
      <c r="F2" s="153"/>
      <c r="G2" s="151"/>
      <c r="H2" s="151"/>
      <c r="I2" s="151"/>
      <c r="J2" s="151"/>
      <c r="K2" s="151"/>
      <c r="L2" s="151"/>
      <c r="M2" s="151"/>
      <c r="N2" s="151"/>
      <c r="O2" s="151"/>
      <c r="P2" s="114"/>
      <c r="Q2" s="114"/>
      <c r="R2" s="113"/>
      <c r="S2" s="113"/>
      <c r="T2" s="113"/>
    </row>
    <row r="3" spans="1:20">
      <c r="A3" s="150">
        <f>YEAR(A2)</f>
        <v>2024</v>
      </c>
      <c r="B3" s="150" t="s">
        <v>358</v>
      </c>
      <c r="C3" s="150"/>
      <c r="D3" s="150"/>
      <c r="E3" s="150"/>
      <c r="F3" s="152"/>
      <c r="G3" s="151"/>
      <c r="H3" s="151">
        <f>A3-1</f>
        <v>2023</v>
      </c>
      <c r="I3" s="151">
        <f t="shared" ref="I3:N3" si="0">H3+1</f>
        <v>2024</v>
      </c>
      <c r="J3" s="151">
        <f t="shared" si="0"/>
        <v>2025</v>
      </c>
      <c r="K3" s="151">
        <f t="shared" si="0"/>
        <v>2026</v>
      </c>
      <c r="L3" s="151">
        <f t="shared" si="0"/>
        <v>2027</v>
      </c>
      <c r="M3" s="151">
        <f t="shared" si="0"/>
        <v>2028</v>
      </c>
      <c r="N3" s="151">
        <f t="shared" si="0"/>
        <v>2029</v>
      </c>
      <c r="O3" s="151"/>
      <c r="P3" s="114"/>
      <c r="Q3" s="114"/>
      <c r="R3" s="113"/>
      <c r="S3" s="113"/>
      <c r="T3" s="113"/>
    </row>
    <row r="4" spans="1:20">
      <c r="A4" s="150">
        <f>MONTH(A2)</f>
        <v>3</v>
      </c>
      <c r="B4" s="150" t="s">
        <v>358</v>
      </c>
      <c r="C4" s="150"/>
      <c r="D4" s="150"/>
      <c r="E4" s="150"/>
      <c r="F4" s="152"/>
      <c r="G4" s="151"/>
      <c r="H4" s="150"/>
      <c r="I4" s="150"/>
      <c r="J4" s="150"/>
      <c r="K4" s="150"/>
      <c r="L4" s="150"/>
      <c r="M4" s="150"/>
      <c r="N4" s="150"/>
      <c r="O4" s="150"/>
      <c r="P4" s="113"/>
      <c r="Q4" s="113"/>
      <c r="R4" s="113"/>
      <c r="S4" s="113"/>
      <c r="T4" s="113"/>
    </row>
    <row r="5" spans="1:20">
      <c r="A5" s="113"/>
      <c r="B5" s="113" t="s">
        <v>358</v>
      </c>
      <c r="C5" s="113"/>
      <c r="D5" s="113"/>
      <c r="E5" s="113"/>
      <c r="F5" s="115"/>
      <c r="G5" s="114"/>
      <c r="H5" s="114"/>
      <c r="I5" s="114"/>
      <c r="J5" s="114"/>
      <c r="K5" s="114"/>
      <c r="L5" s="114"/>
      <c r="M5" s="114"/>
      <c r="N5" s="114"/>
      <c r="O5" s="114"/>
      <c r="P5" s="114"/>
      <c r="Q5" s="114"/>
      <c r="R5" s="113"/>
      <c r="S5" s="113"/>
      <c r="T5" s="113"/>
    </row>
    <row r="6" spans="1:20" ht="23.25" customHeight="1">
      <c r="A6" s="113"/>
      <c r="B6" s="113" t="s">
        <v>358</v>
      </c>
      <c r="C6" s="113"/>
      <c r="D6" s="113" t="s">
        <v>358</v>
      </c>
      <c r="E6" s="113"/>
      <c r="F6" s="99" t="s">
        <v>189</v>
      </c>
      <c r="G6" s="116"/>
      <c r="H6" s="116"/>
      <c r="J6" s="116"/>
      <c r="K6" s="116"/>
      <c r="L6" s="116"/>
      <c r="M6" s="116"/>
      <c r="N6" s="116"/>
      <c r="O6" s="116"/>
      <c r="P6" s="114"/>
      <c r="Q6" s="114"/>
      <c r="R6" s="113"/>
      <c r="S6" s="113"/>
      <c r="T6" s="113"/>
    </row>
    <row r="7" spans="1:20" ht="18" customHeight="1">
      <c r="A7" s="113"/>
      <c r="B7" s="113" t="s">
        <v>358</v>
      </c>
      <c r="C7" s="113"/>
      <c r="D7" s="113" t="s">
        <v>358</v>
      </c>
      <c r="E7" s="113"/>
      <c r="F7" s="117"/>
      <c r="G7" s="118"/>
      <c r="H7" s="148"/>
      <c r="I7" s="118"/>
      <c r="J7" s="118"/>
      <c r="K7" s="118"/>
      <c r="L7" s="118"/>
      <c r="M7" s="118"/>
      <c r="N7" s="118"/>
      <c r="O7" s="167"/>
      <c r="P7" s="168"/>
      <c r="Q7" s="168"/>
      <c r="R7" s="113"/>
      <c r="S7" s="113"/>
      <c r="T7" s="113"/>
    </row>
    <row r="8" spans="1:20" ht="18" customHeight="1">
      <c r="A8" s="113"/>
      <c r="B8" s="113" t="s">
        <v>358</v>
      </c>
      <c r="C8" s="113"/>
      <c r="D8" s="113"/>
      <c r="E8" s="113"/>
      <c r="F8" s="51"/>
      <c r="G8" s="52" t="s">
        <v>185</v>
      </c>
      <c r="H8" s="52">
        <f>H3</f>
        <v>2023</v>
      </c>
      <c r="I8" s="52" t="str">
        <f>CONCATENATE(I3," f")</f>
        <v>2024 f</v>
      </c>
      <c r="J8" s="52" t="str">
        <f t="shared" ref="J8:K8" si="1">CONCATENATE(J3," f")</f>
        <v>2025 f</v>
      </c>
      <c r="K8" s="52" t="str">
        <f t="shared" si="1"/>
        <v>2026 f</v>
      </c>
      <c r="L8" s="52" t="str">
        <f>CONCATENATE(L3," z")</f>
        <v>2027 z</v>
      </c>
      <c r="M8" s="52" t="str">
        <f>CONCATENATE(M3," z")</f>
        <v>2028 z</v>
      </c>
      <c r="N8" s="52" t="str">
        <f>CONCATENATE(N3," z")</f>
        <v>2029 z</v>
      </c>
      <c r="O8" s="52" t="s">
        <v>184</v>
      </c>
      <c r="P8" s="52"/>
      <c r="Q8" s="52"/>
      <c r="R8" s="113"/>
      <c r="S8" s="113"/>
      <c r="T8" s="113"/>
    </row>
    <row r="9" spans="1:20" ht="18" customHeight="1">
      <c r="A9" s="113"/>
      <c r="B9" s="113" t="s">
        <v>358</v>
      </c>
      <c r="C9" s="113"/>
      <c r="D9" s="113"/>
      <c r="E9" s="113"/>
      <c r="F9" s="79" t="s">
        <v>17</v>
      </c>
      <c r="G9" s="32"/>
      <c r="H9" s="45"/>
      <c r="I9" s="45"/>
      <c r="J9" s="45"/>
      <c r="K9" s="45"/>
      <c r="L9" s="45"/>
      <c r="M9" s="45"/>
      <c r="N9" s="45"/>
      <c r="O9" s="45"/>
      <c r="P9" s="45"/>
      <c r="Q9" s="45"/>
      <c r="R9" s="113"/>
      <c r="S9" s="113"/>
      <c r="T9" s="113"/>
    </row>
    <row r="10" spans="1:20" ht="18" customHeight="1">
      <c r="A10" s="113"/>
      <c r="B10" s="119" t="s">
        <v>358</v>
      </c>
      <c r="C10" s="113"/>
      <c r="D10" s="113"/>
      <c r="E10" s="113"/>
      <c r="F10" s="30" t="s">
        <v>143</v>
      </c>
      <c r="G10" s="32" t="s">
        <v>4</v>
      </c>
      <c r="H10" s="47">
        <v>1019.28406884131</v>
      </c>
      <c r="I10" s="47">
        <v>1321.53331477914</v>
      </c>
      <c r="J10" s="47">
        <v>1539.81748709056</v>
      </c>
      <c r="K10" s="47">
        <v>1743.8813356073999</v>
      </c>
      <c r="L10" s="47">
        <v>1892.3117317502099</v>
      </c>
      <c r="M10" s="47">
        <v>2017.0531203261701</v>
      </c>
      <c r="N10" s="47">
        <v>2260.5708870281901</v>
      </c>
      <c r="O10" s="16">
        <f>((N10/H10)^(1/6)-1)*100</f>
        <v>14.196768781473001</v>
      </c>
      <c r="P10" s="68"/>
      <c r="Q10" s="68"/>
      <c r="R10" s="113"/>
      <c r="S10" s="113"/>
      <c r="T10" s="113"/>
    </row>
    <row r="11" spans="1:20" ht="18" customHeight="1">
      <c r="A11" s="113"/>
      <c r="B11" s="119" t="s">
        <v>358</v>
      </c>
      <c r="C11" s="113"/>
      <c r="D11" s="113"/>
      <c r="E11" s="113"/>
      <c r="F11" s="30" t="s">
        <v>196</v>
      </c>
      <c r="G11" s="32" t="s">
        <v>4</v>
      </c>
      <c r="H11" s="47">
        <v>1001.21275611325</v>
      </c>
      <c r="I11" s="47">
        <v>1218.9490134728601</v>
      </c>
      <c r="J11" s="47">
        <v>1419.2819874736199</v>
      </c>
      <c r="K11" s="47">
        <v>1635.0134377153699</v>
      </c>
      <c r="L11" s="47">
        <v>1840.87451013091</v>
      </c>
      <c r="M11" s="47">
        <v>2050.0509608847901</v>
      </c>
      <c r="N11" s="47">
        <v>2266.2080157381902</v>
      </c>
      <c r="O11" s="16">
        <f t="shared" ref="O11" si="2">((N11/H11)^(1/6)-1)*100</f>
        <v>14.585298259084546</v>
      </c>
      <c r="P11" s="68"/>
      <c r="Q11" s="68"/>
      <c r="R11" s="113"/>
      <c r="S11" s="113"/>
      <c r="T11" s="113"/>
    </row>
    <row r="12" spans="1:20" ht="18" customHeight="1">
      <c r="A12" s="113"/>
      <c r="B12" s="113" t="s">
        <v>358</v>
      </c>
      <c r="C12" s="113"/>
      <c r="D12" s="113"/>
      <c r="E12" s="113"/>
      <c r="F12" s="30" t="s">
        <v>251</v>
      </c>
      <c r="G12" s="32"/>
      <c r="H12" s="45"/>
      <c r="I12" s="45"/>
      <c r="J12" s="45"/>
      <c r="K12" s="45"/>
      <c r="L12" s="45"/>
      <c r="M12" s="45"/>
      <c r="N12" s="45"/>
      <c r="O12" s="92"/>
      <c r="P12" s="45"/>
      <c r="Q12" s="45"/>
      <c r="R12" s="113"/>
      <c r="S12" s="113"/>
      <c r="T12" s="113"/>
    </row>
    <row r="13" spans="1:20" ht="18" customHeight="1">
      <c r="A13" s="113"/>
      <c r="B13" s="120" t="s">
        <v>358</v>
      </c>
      <c r="C13" s="113"/>
      <c r="D13" s="113"/>
      <c r="E13" s="113"/>
      <c r="F13" s="30" t="s">
        <v>8</v>
      </c>
      <c r="G13" s="32" t="s">
        <v>9</v>
      </c>
      <c r="H13" s="47">
        <v>3729.6919717578498</v>
      </c>
      <c r="I13" s="47">
        <v>1139.38985507247</v>
      </c>
      <c r="J13" s="47">
        <v>1378.8416666666601</v>
      </c>
      <c r="K13" s="47">
        <v>1416.2445913614799</v>
      </c>
      <c r="L13" s="47">
        <v>1369.47492487502</v>
      </c>
      <c r="M13" s="47">
        <v>1261.01007361295</v>
      </c>
      <c r="N13" s="47">
        <v>1210.0177210290999</v>
      </c>
      <c r="O13" s="16">
        <f t="shared" ref="O13:O17" si="3">((N13/H13)^(1/6)-1)*100</f>
        <v>-17.106630365418198</v>
      </c>
      <c r="P13" s="68"/>
      <c r="Q13" s="68"/>
      <c r="R13" s="113"/>
      <c r="S13" s="113"/>
      <c r="T13" s="113"/>
    </row>
    <row r="14" spans="1:20" ht="18" customHeight="1">
      <c r="A14" s="113"/>
      <c r="B14" s="113" t="s">
        <v>358</v>
      </c>
      <c r="C14" s="113"/>
      <c r="D14" s="113"/>
      <c r="E14" s="113"/>
      <c r="F14" s="30" t="s">
        <v>124</v>
      </c>
      <c r="G14" s="37" t="s">
        <v>9</v>
      </c>
      <c r="H14" s="47">
        <v>3811.7451951365201</v>
      </c>
      <c r="I14" s="47">
        <v>1139.38985507247</v>
      </c>
      <c r="J14" s="47">
        <v>1353.1321557082099</v>
      </c>
      <c r="K14" s="47">
        <v>1360.51850181242</v>
      </c>
      <c r="L14" s="47">
        <v>1289.08551988011</v>
      </c>
      <c r="M14" s="47">
        <v>1162.20934923447</v>
      </c>
      <c r="N14" s="47">
        <v>1091.93227503243</v>
      </c>
      <c r="O14" s="16">
        <f t="shared" si="3"/>
        <v>-18.808236667315093</v>
      </c>
      <c r="P14" s="68"/>
      <c r="Q14" s="68"/>
      <c r="R14" s="113"/>
      <c r="S14" s="113"/>
      <c r="T14" s="113"/>
    </row>
    <row r="15" spans="1:20" ht="20.100000000000001" customHeight="1">
      <c r="B15" s="29" t="s">
        <v>358</v>
      </c>
      <c r="C15" s="113"/>
      <c r="D15" s="113"/>
      <c r="E15" s="113"/>
      <c r="F15" s="30" t="s">
        <v>252</v>
      </c>
      <c r="G15" s="37"/>
      <c r="H15" s="47"/>
      <c r="I15" s="47"/>
      <c r="J15" s="47"/>
      <c r="K15" s="47"/>
      <c r="L15" s="68"/>
      <c r="M15" s="68"/>
      <c r="N15" s="68"/>
      <c r="O15" s="126"/>
    </row>
    <row r="16" spans="1:20" ht="20.100000000000001" customHeight="1">
      <c r="B16" s="29" t="s">
        <v>358</v>
      </c>
      <c r="C16" s="113"/>
      <c r="D16" s="113"/>
      <c r="E16" s="113"/>
      <c r="F16" s="30" t="s">
        <v>8</v>
      </c>
      <c r="G16" s="32" t="s">
        <v>9</v>
      </c>
      <c r="H16" s="47">
        <v>50288.370553408196</v>
      </c>
      <c r="I16" s="47">
        <v>15870.333964646499</v>
      </c>
      <c r="J16" s="47">
        <v>18393.090277777799</v>
      </c>
      <c r="K16" s="47">
        <v>18334.008827143</v>
      </c>
      <c r="L16" s="47">
        <v>17761.5099138558</v>
      </c>
      <c r="M16" s="47">
        <v>16396.174910425201</v>
      </c>
      <c r="N16" s="47">
        <v>15394.360177996001</v>
      </c>
      <c r="O16" s="16">
        <f t="shared" si="3"/>
        <v>-17.90519418417119</v>
      </c>
    </row>
    <row r="17" spans="1:20" ht="26.25" customHeight="1">
      <c r="B17" s="29" t="s">
        <v>358</v>
      </c>
      <c r="F17" s="30" t="s">
        <v>124</v>
      </c>
      <c r="G17" s="37" t="s">
        <v>9</v>
      </c>
      <c r="H17" s="61">
        <v>51394.714705583203</v>
      </c>
      <c r="I17" s="61">
        <v>15870.333964646499</v>
      </c>
      <c r="J17" s="61">
        <v>18050.137662196001</v>
      </c>
      <c r="K17" s="61">
        <v>17612.606165535999</v>
      </c>
      <c r="L17" s="61">
        <v>16718.8933694773</v>
      </c>
      <c r="M17" s="61">
        <v>15111.526998339299</v>
      </c>
      <c r="N17" s="61">
        <v>13892.026901499799</v>
      </c>
      <c r="O17" s="16">
        <f t="shared" si="3"/>
        <v>-19.590407845348569</v>
      </c>
    </row>
    <row r="18" spans="1:20" ht="18" customHeight="1">
      <c r="A18" s="113"/>
      <c r="B18" s="113" t="s">
        <v>358</v>
      </c>
      <c r="C18" s="113"/>
      <c r="D18" s="113"/>
      <c r="E18" s="113"/>
      <c r="F18" s="30"/>
      <c r="G18" s="32"/>
      <c r="H18" s="45"/>
      <c r="I18" s="45"/>
      <c r="J18" s="45"/>
      <c r="K18" s="45"/>
      <c r="L18" s="45"/>
      <c r="M18" s="45"/>
      <c r="N18" s="45"/>
      <c r="O18" s="45"/>
      <c r="P18" s="45"/>
      <c r="Q18" s="45"/>
      <c r="R18" s="113"/>
      <c r="S18" s="113"/>
      <c r="T18" s="113"/>
    </row>
    <row r="19" spans="1:20" ht="18" customHeight="1">
      <c r="A19" s="150"/>
      <c r="B19" s="150" t="s">
        <v>358</v>
      </c>
      <c r="C19" s="150"/>
      <c r="D19" s="150"/>
      <c r="E19" s="150"/>
      <c r="F19" s="131"/>
      <c r="G19" s="143"/>
      <c r="H19" s="133" t="str">
        <f>CONCATENATE(H$3-1,"–",RIGHT(H$3,2))</f>
        <v>2022–23</v>
      </c>
      <c r="I19" s="133" t="str">
        <f t="shared" ref="I19:N19" si="4">CONCATENATE(I$3-1,"–",RIGHT(I$3,2))</f>
        <v>2023–24</v>
      </c>
      <c r="J19" s="133" t="str">
        <f t="shared" si="4"/>
        <v>2024–25</v>
      </c>
      <c r="K19" s="133" t="str">
        <f t="shared" si="4"/>
        <v>2025–26</v>
      </c>
      <c r="L19" s="133" t="str">
        <f t="shared" si="4"/>
        <v>2026–27</v>
      </c>
      <c r="M19" s="133" t="str">
        <f t="shared" si="4"/>
        <v>2027–28</v>
      </c>
      <c r="N19" s="133" t="str">
        <f t="shared" si="4"/>
        <v>2028–29</v>
      </c>
      <c r="O19" s="133"/>
      <c r="P19" s="37"/>
      <c r="Q19" s="37"/>
      <c r="R19" s="113"/>
      <c r="S19" s="113"/>
      <c r="T19" s="113"/>
    </row>
    <row r="20" spans="1:20" ht="18" customHeight="1">
      <c r="A20" s="113"/>
      <c r="B20" s="113" t="s">
        <v>358</v>
      </c>
      <c r="C20" s="113"/>
      <c r="D20" s="113"/>
      <c r="E20" s="113"/>
      <c r="F20" s="30"/>
      <c r="G20" s="37"/>
      <c r="H20" s="45"/>
      <c r="I20" s="45"/>
      <c r="J20" s="45"/>
      <c r="K20" s="45"/>
      <c r="L20" s="45"/>
      <c r="M20" s="45"/>
      <c r="N20" s="45"/>
      <c r="O20" s="45"/>
      <c r="P20" s="45"/>
      <c r="Q20" s="45"/>
      <c r="R20" s="113"/>
      <c r="S20" s="113"/>
      <c r="T20" s="113"/>
    </row>
    <row r="21" spans="1:20" ht="18" customHeight="1">
      <c r="A21" s="113"/>
      <c r="B21" s="113" t="s">
        <v>358</v>
      </c>
      <c r="C21" s="113"/>
      <c r="D21" s="113"/>
      <c r="E21" s="113"/>
      <c r="F21" s="30"/>
      <c r="G21" s="32"/>
      <c r="H21" s="45"/>
      <c r="I21" s="45"/>
      <c r="J21" s="45"/>
      <c r="K21" s="45"/>
      <c r="L21" s="45"/>
      <c r="M21" s="45"/>
      <c r="N21" s="45"/>
      <c r="O21" s="45"/>
      <c r="P21" s="45"/>
      <c r="Q21" s="45"/>
      <c r="R21" s="113"/>
      <c r="S21" s="113"/>
      <c r="T21" s="113"/>
    </row>
    <row r="22" spans="1:20" ht="18" customHeight="1">
      <c r="A22" s="113"/>
      <c r="B22" s="113" t="s">
        <v>358</v>
      </c>
      <c r="C22" s="113"/>
      <c r="D22" s="113"/>
      <c r="E22" s="113"/>
      <c r="F22" s="42"/>
      <c r="G22" s="41"/>
      <c r="H22" s="41"/>
      <c r="I22" s="41"/>
      <c r="J22" s="41"/>
      <c r="K22" s="41"/>
      <c r="L22" s="41"/>
      <c r="M22" s="41"/>
      <c r="N22" s="41"/>
      <c r="O22" s="169"/>
      <c r="P22" s="170"/>
      <c r="Q22" s="170"/>
      <c r="R22" s="113"/>
      <c r="S22" s="113"/>
      <c r="T22" s="113"/>
    </row>
    <row r="23" spans="1:20" ht="18" customHeight="1">
      <c r="A23" s="113"/>
      <c r="B23" s="113" t="s">
        <v>358</v>
      </c>
      <c r="C23" s="113"/>
      <c r="D23" s="113"/>
      <c r="E23" s="113"/>
      <c r="F23" s="30" t="s">
        <v>0</v>
      </c>
      <c r="G23" s="52" t="s">
        <v>185</v>
      </c>
      <c r="H23" s="52" t="str">
        <f>CONCATENATE(H$3-1,"–",RIGHT(H$3,2))</f>
        <v>2022–23</v>
      </c>
      <c r="I23" s="52" t="str">
        <f>CONCATENATE(CONCATENATE(I$3-1,"–",RIGHT(I$3,2)),"f")</f>
        <v>2023–24f</v>
      </c>
      <c r="J23" s="52" t="str">
        <f>CONCATENATE(CONCATENATE(J$3-1,"–",RIGHT(J$3,2)),"f")</f>
        <v>2024–25f</v>
      </c>
      <c r="K23" s="52" t="str">
        <f>CONCATENATE(CONCATENATE(K$3-1,"–",RIGHT(K$3,2)),"f")</f>
        <v>2025–26f</v>
      </c>
      <c r="L23" s="52" t="str">
        <f>CONCATENATE(CONCATENATE(L$3-1,"–",RIGHT(L$3,2)),"z")</f>
        <v>2026–27z</v>
      </c>
      <c r="M23" s="52" t="str">
        <f>CONCATENATE(CONCATENATE(M$3-1,"–",RIGHT(M$3,2)),"z")</f>
        <v>2027–28z</v>
      </c>
      <c r="N23" s="52" t="str">
        <f>CONCATENATE(CONCATENATE(N$3-1,"–",RIGHT(N$3,2)),"z")</f>
        <v>2028–29z</v>
      </c>
      <c r="O23" s="52" t="s">
        <v>184</v>
      </c>
      <c r="P23" s="52"/>
      <c r="Q23" s="52"/>
      <c r="R23" s="113"/>
      <c r="S23" s="113"/>
      <c r="T23" s="113"/>
    </row>
    <row r="24" spans="1:20" ht="18" customHeight="1">
      <c r="A24" s="113"/>
      <c r="B24" s="113" t="s">
        <v>358</v>
      </c>
      <c r="C24" s="113"/>
      <c r="D24" s="113"/>
      <c r="E24" s="113"/>
      <c r="F24" s="109" t="s">
        <v>22</v>
      </c>
      <c r="G24" s="32"/>
      <c r="H24" s="45"/>
      <c r="I24" s="45"/>
      <c r="J24" s="45"/>
      <c r="K24" s="45"/>
      <c r="L24" s="45"/>
      <c r="M24" s="45"/>
      <c r="N24" s="45"/>
      <c r="O24" s="45"/>
      <c r="P24" s="45"/>
      <c r="Q24" s="45"/>
      <c r="R24" s="113"/>
      <c r="S24" s="113"/>
      <c r="T24" s="113"/>
    </row>
    <row r="25" spans="1:20" ht="18" customHeight="1">
      <c r="A25" s="113"/>
      <c r="B25" s="113" t="s">
        <v>358</v>
      </c>
      <c r="C25" s="113"/>
      <c r="D25" s="113"/>
      <c r="E25" s="113"/>
      <c r="F25" s="38" t="s">
        <v>2</v>
      </c>
      <c r="G25" s="32" t="s">
        <v>0</v>
      </c>
      <c r="H25" s="45"/>
      <c r="I25" s="45"/>
      <c r="J25" s="45"/>
      <c r="K25" s="45"/>
      <c r="L25" s="45"/>
      <c r="M25" s="45"/>
      <c r="N25" s="45"/>
      <c r="O25" s="45"/>
      <c r="P25" s="45"/>
      <c r="Q25" s="45"/>
      <c r="R25" s="113"/>
      <c r="S25" s="113"/>
      <c r="T25" s="113"/>
    </row>
    <row r="26" spans="1:20" ht="20.100000000000001" customHeight="1">
      <c r="B26" s="29" t="s">
        <v>358</v>
      </c>
      <c r="C26" s="113"/>
      <c r="D26" s="113"/>
      <c r="E26" s="113"/>
      <c r="F26" s="38" t="s">
        <v>338</v>
      </c>
      <c r="G26" s="32" t="s">
        <v>339</v>
      </c>
      <c r="H26" s="45">
        <v>397.39522817847802</v>
      </c>
      <c r="I26" s="45">
        <v>495.70336203707097</v>
      </c>
      <c r="J26" s="45">
        <v>538.59954082092497</v>
      </c>
      <c r="K26" s="45">
        <v>655.31520035000005</v>
      </c>
      <c r="L26" s="45">
        <v>667.92576925000003</v>
      </c>
      <c r="M26" s="45">
        <v>675.54322749999994</v>
      </c>
      <c r="N26" s="45">
        <v>676.47134440000002</v>
      </c>
      <c r="O26" s="16">
        <f t="shared" ref="O26" si="5">((N26/H26)^(1/6)-1)*100</f>
        <v>9.2708847280497118</v>
      </c>
    </row>
    <row r="27" spans="1:20" ht="20.100000000000001" customHeight="1">
      <c r="B27" s="29" t="s">
        <v>358</v>
      </c>
      <c r="C27" s="113"/>
      <c r="D27" s="113"/>
      <c r="E27" s="113"/>
      <c r="F27" s="38" t="s">
        <v>39</v>
      </c>
      <c r="G27" s="32"/>
      <c r="H27" s="45"/>
      <c r="I27" s="45"/>
      <c r="J27" s="45"/>
      <c r="K27" s="45"/>
      <c r="L27" s="45"/>
      <c r="M27" s="45"/>
      <c r="N27" s="45"/>
    </row>
    <row r="28" spans="1:20" ht="20.100000000000001" customHeight="1">
      <c r="B28" s="29" t="s">
        <v>358</v>
      </c>
      <c r="C28" s="113"/>
      <c r="D28" s="113"/>
      <c r="E28" s="113"/>
      <c r="F28" s="38" t="s">
        <v>340</v>
      </c>
      <c r="G28" s="32" t="s">
        <v>4</v>
      </c>
      <c r="H28" s="45">
        <v>3276.68160605</v>
      </c>
      <c r="I28" s="45">
        <v>3398.8813633416298</v>
      </c>
      <c r="J28" s="45">
        <v>3190.5777022328198</v>
      </c>
      <c r="K28" s="45">
        <v>3703.8900144898198</v>
      </c>
      <c r="L28" s="45">
        <v>3651.2461422249198</v>
      </c>
      <c r="M28" s="45">
        <v>3605.8536247023399</v>
      </c>
      <c r="N28" s="45">
        <v>3558.7123898099499</v>
      </c>
      <c r="O28" s="16">
        <f t="shared" ref="O28:O34" si="6">((N28/H28)^(1/6)-1)*100</f>
        <v>1.3856386427746781</v>
      </c>
    </row>
    <row r="29" spans="1:20" ht="20.100000000000001" customHeight="1">
      <c r="B29" s="29" t="s">
        <v>358</v>
      </c>
      <c r="C29" s="113"/>
      <c r="D29" s="113"/>
      <c r="E29" s="113"/>
      <c r="F29" s="30" t="s">
        <v>341</v>
      </c>
      <c r="G29" s="32" t="s">
        <v>4</v>
      </c>
      <c r="H29" s="45">
        <v>0</v>
      </c>
      <c r="I29" s="45">
        <v>21.517024983408</v>
      </c>
      <c r="J29" s="45">
        <v>74.046321869071406</v>
      </c>
      <c r="K29" s="47">
        <v>120.111552</v>
      </c>
      <c r="L29" s="47">
        <v>143.310792533333</v>
      </c>
      <c r="M29" s="47">
        <v>159.615573333333</v>
      </c>
      <c r="N29" s="47">
        <v>168.6160256</v>
      </c>
      <c r="O29" s="16" t="e">
        <f t="shared" si="6"/>
        <v>#DIV/0!</v>
      </c>
    </row>
    <row r="30" spans="1:20" ht="20.100000000000001" customHeight="1">
      <c r="B30" s="29" t="s">
        <v>358</v>
      </c>
      <c r="C30" s="113"/>
      <c r="D30" s="113"/>
      <c r="E30" s="113"/>
      <c r="F30" s="30" t="s">
        <v>24</v>
      </c>
      <c r="G30" s="37"/>
      <c r="H30" s="45"/>
      <c r="I30" s="47"/>
      <c r="J30" s="47"/>
      <c r="K30" s="47"/>
      <c r="L30" s="47"/>
      <c r="M30" s="47"/>
      <c r="N30" s="47"/>
    </row>
    <row r="31" spans="1:20" ht="20.100000000000001" customHeight="1">
      <c r="B31" s="29" t="s">
        <v>358</v>
      </c>
      <c r="C31" s="113"/>
      <c r="D31" s="113"/>
      <c r="E31" s="113"/>
      <c r="F31" s="38" t="s">
        <v>340</v>
      </c>
      <c r="G31" s="37" t="s">
        <v>16</v>
      </c>
      <c r="H31" s="45">
        <v>20069.434312000001</v>
      </c>
      <c r="I31" s="47">
        <v>9548.1985639424202</v>
      </c>
      <c r="J31" s="47">
        <v>5773.9304177679596</v>
      </c>
      <c r="K31" s="47">
        <v>6994.04006961097</v>
      </c>
      <c r="L31" s="47">
        <v>6741.5012372619703</v>
      </c>
      <c r="M31" s="47">
        <v>6259.8797225739499</v>
      </c>
      <c r="N31" s="47">
        <v>5781.3239020403498</v>
      </c>
      <c r="O31" s="16">
        <f t="shared" si="6"/>
        <v>-18.732787839221054</v>
      </c>
    </row>
    <row r="32" spans="1:20" ht="20.100000000000001" customHeight="1">
      <c r="B32" s="29" t="s">
        <v>358</v>
      </c>
      <c r="C32" s="113"/>
      <c r="D32" s="113"/>
      <c r="E32" s="113"/>
      <c r="F32" s="30" t="s">
        <v>341</v>
      </c>
      <c r="G32" s="37" t="s">
        <v>16</v>
      </c>
      <c r="H32" s="45">
        <v>0</v>
      </c>
      <c r="I32" s="47">
        <v>477.959646205014</v>
      </c>
      <c r="J32" s="47">
        <v>1883.4793053607</v>
      </c>
      <c r="K32" s="47">
        <v>2965.8969956426399</v>
      </c>
      <c r="L32" s="47">
        <v>3478.38946318133</v>
      </c>
      <c r="M32" s="47">
        <v>3629.1742905390001</v>
      </c>
      <c r="N32" s="47">
        <v>3565.8646542780298</v>
      </c>
      <c r="O32" s="16" t="e">
        <f t="shared" si="6"/>
        <v>#DIV/0!</v>
      </c>
    </row>
    <row r="33" spans="2:15" ht="20.100000000000001" customHeight="1">
      <c r="B33" s="29" t="s">
        <v>358</v>
      </c>
      <c r="C33" s="113"/>
      <c r="D33" s="113"/>
      <c r="E33" s="113"/>
      <c r="F33" s="30" t="s">
        <v>342</v>
      </c>
      <c r="G33" s="37" t="s">
        <v>16</v>
      </c>
      <c r="H33" s="45">
        <v>20193.504707065498</v>
      </c>
      <c r="I33" s="47">
        <v>11308.905149753</v>
      </c>
      <c r="J33" s="47">
        <v>9483.2802371220896</v>
      </c>
      <c r="K33" s="47">
        <v>10887.736794144699</v>
      </c>
      <c r="L33" s="47">
        <v>11231.9887118313</v>
      </c>
      <c r="M33" s="47">
        <v>10937.4712479726</v>
      </c>
      <c r="N33" s="47">
        <v>10433.685712021599</v>
      </c>
      <c r="O33" s="16">
        <f t="shared" si="6"/>
        <v>-10.421385339023947</v>
      </c>
    </row>
    <row r="34" spans="2:15" ht="27.95" customHeight="1">
      <c r="B34" s="29" t="s">
        <v>358</v>
      </c>
      <c r="C34" s="113"/>
      <c r="D34" s="113"/>
      <c r="E34" s="113"/>
      <c r="F34" s="30" t="s">
        <v>343</v>
      </c>
      <c r="G34" s="37" t="s">
        <v>16</v>
      </c>
      <c r="H34" s="47">
        <v>21005.016527102602</v>
      </c>
      <c r="I34" s="47">
        <v>11308.905149753</v>
      </c>
      <c r="J34" s="47">
        <v>9191.4983177747999</v>
      </c>
      <c r="K34" s="47">
        <v>10269.1686294667</v>
      </c>
      <c r="L34" s="47">
        <v>10335.4755732597</v>
      </c>
      <c r="M34" s="47">
        <v>9818.9910817559194</v>
      </c>
      <c r="N34" s="47">
        <v>9138.2666497310493</v>
      </c>
      <c r="O34" s="16">
        <f t="shared" si="6"/>
        <v>-12.952400367223682</v>
      </c>
    </row>
    <row r="35" spans="2:15" ht="20.100000000000001" customHeight="1">
      <c r="B35" s="29" t="s">
        <v>358</v>
      </c>
      <c r="C35" s="113"/>
      <c r="D35" s="113"/>
      <c r="E35" s="113"/>
      <c r="F35" s="121"/>
      <c r="G35" s="62" t="s">
        <v>0</v>
      </c>
      <c r="H35" s="62"/>
      <c r="I35" s="62"/>
      <c r="J35" s="62"/>
      <c r="K35" s="62"/>
      <c r="L35" s="127"/>
      <c r="M35" s="62"/>
      <c r="N35" s="62"/>
    </row>
    <row r="36" spans="2:15" ht="20.100000000000001" customHeight="1">
      <c r="B36" s="29" t="s">
        <v>358</v>
      </c>
      <c r="C36" s="113"/>
      <c r="D36" s="113"/>
      <c r="E36" s="113"/>
      <c r="F36" s="30"/>
      <c r="G36" s="37" t="s">
        <v>0</v>
      </c>
      <c r="H36" s="37"/>
      <c r="I36" s="37"/>
      <c r="J36" s="37"/>
      <c r="L36" s="37"/>
      <c r="M36" s="37"/>
      <c r="N36" s="29" t="s">
        <v>358</v>
      </c>
    </row>
    <row r="37" spans="2:15" ht="18" customHeight="1">
      <c r="B37" s="29" t="s">
        <v>358</v>
      </c>
      <c r="C37" s="113"/>
      <c r="D37" s="113"/>
      <c r="E37" s="113"/>
      <c r="F37" s="16" t="s">
        <v>119</v>
      </c>
      <c r="G37" s="37"/>
      <c r="H37" s="37"/>
      <c r="I37" s="37"/>
      <c r="J37" s="37"/>
      <c r="K37" s="37"/>
      <c r="L37" s="37"/>
      <c r="M37" s="37"/>
      <c r="N37" s="37"/>
    </row>
    <row r="38" spans="2:15" ht="18" customHeight="1">
      <c r="B38" s="29" t="s">
        <v>358</v>
      </c>
      <c r="C38" s="113"/>
      <c r="D38" s="113"/>
      <c r="E38" s="113"/>
      <c r="F38" s="69" t="s">
        <v>344</v>
      </c>
      <c r="G38" s="37"/>
      <c r="H38" s="37"/>
      <c r="I38" s="37"/>
      <c r="J38" s="37"/>
      <c r="K38" s="37"/>
      <c r="L38" s="37"/>
      <c r="M38" s="37"/>
      <c r="N38" s="37"/>
    </row>
    <row r="39" spans="2:15" ht="18" customHeight="1">
      <c r="B39" s="29" t="s">
        <v>358</v>
      </c>
      <c r="C39" s="113"/>
      <c r="D39" s="113"/>
      <c r="E39" s="113"/>
      <c r="F39" s="69" t="s">
        <v>345</v>
      </c>
      <c r="G39" s="37"/>
      <c r="H39" s="37"/>
      <c r="I39" s="37"/>
      <c r="J39" s="37"/>
      <c r="K39" s="37"/>
      <c r="L39" s="37"/>
      <c r="M39" s="37"/>
      <c r="N39" s="37"/>
    </row>
    <row r="40" spans="2:15" ht="18" customHeight="1">
      <c r="B40" s="29" t="s">
        <v>358</v>
      </c>
      <c r="C40" s="113"/>
      <c r="D40" s="113"/>
      <c r="E40" s="113"/>
      <c r="F40" s="69" t="s">
        <v>346</v>
      </c>
      <c r="G40" s="37"/>
      <c r="H40" s="37"/>
      <c r="I40" s="37"/>
      <c r="J40" s="37"/>
      <c r="K40" s="37"/>
      <c r="L40" s="37"/>
      <c r="M40" s="37"/>
      <c r="N40" s="37"/>
    </row>
    <row r="41" spans="2:15" ht="18" customHeight="1">
      <c r="B41" s="29" t="s">
        <v>358</v>
      </c>
      <c r="C41" s="113"/>
      <c r="D41" s="113"/>
      <c r="E41" s="113"/>
      <c r="F41" s="69" t="s">
        <v>347</v>
      </c>
      <c r="G41" s="37"/>
      <c r="H41" s="37"/>
      <c r="I41" s="37"/>
      <c r="J41" s="37"/>
      <c r="K41" s="37"/>
      <c r="L41" s="37"/>
      <c r="M41" s="37"/>
      <c r="N41" s="37"/>
    </row>
    <row r="42" spans="2:15" ht="18" customHeight="1">
      <c r="B42" s="113" t="s">
        <v>358</v>
      </c>
      <c r="C42" s="113"/>
      <c r="D42" s="113"/>
      <c r="E42" s="113"/>
      <c r="F42" s="69" t="s">
        <v>348</v>
      </c>
      <c r="G42" s="37"/>
      <c r="H42" s="37"/>
      <c r="I42" s="37"/>
      <c r="J42" s="37"/>
      <c r="K42" s="37"/>
      <c r="L42" s="37"/>
      <c r="M42" s="37"/>
      <c r="N42" s="37"/>
    </row>
    <row r="43" spans="2:15" ht="18" customHeight="1">
      <c r="B43" s="113" t="s">
        <v>358</v>
      </c>
      <c r="C43" s="113"/>
      <c r="D43" s="113"/>
      <c r="E43" s="113"/>
      <c r="F43" s="69" t="s">
        <v>349</v>
      </c>
      <c r="G43" s="37"/>
      <c r="H43" s="37"/>
      <c r="I43" s="37"/>
      <c r="J43" s="37"/>
      <c r="K43" s="37"/>
      <c r="L43" s="37"/>
      <c r="M43" s="37"/>
      <c r="N43" s="37"/>
    </row>
    <row r="44" spans="2:15" ht="18" customHeight="1">
      <c r="B44" s="113" t="s">
        <v>358</v>
      </c>
      <c r="C44" s="113"/>
      <c r="D44" s="113"/>
      <c r="E44" s="113"/>
      <c r="F44" s="69" t="s">
        <v>350</v>
      </c>
      <c r="G44" s="37"/>
      <c r="H44" s="37"/>
      <c r="I44" s="37"/>
      <c r="J44" s="37"/>
      <c r="K44" s="37"/>
      <c r="L44" s="37"/>
      <c r="M44" s="37"/>
      <c r="N44" s="37"/>
    </row>
    <row r="45" spans="2:15" ht="18" customHeight="1">
      <c r="B45" s="113" t="s">
        <v>358</v>
      </c>
      <c r="C45" s="113"/>
      <c r="D45" s="113"/>
      <c r="E45" s="113"/>
      <c r="F45" s="24" t="s">
        <v>351</v>
      </c>
      <c r="G45" s="37"/>
      <c r="H45" s="37"/>
      <c r="I45" s="37"/>
      <c r="J45" s="37"/>
      <c r="K45" s="37"/>
      <c r="L45" s="37"/>
      <c r="M45" s="37"/>
      <c r="N45" s="37"/>
    </row>
    <row r="46" spans="2:15" ht="18" customHeight="1">
      <c r="F46" s="29" t="s">
        <v>352</v>
      </c>
      <c r="G46" s="37"/>
      <c r="H46" s="37"/>
      <c r="I46" s="37"/>
      <c r="J46" s="37"/>
      <c r="K46" s="37"/>
      <c r="L46" s="37"/>
      <c r="M46" s="37"/>
      <c r="N46" s="37"/>
    </row>
    <row r="47" spans="2:15" ht="18" customHeight="1">
      <c r="G47" s="37"/>
      <c r="H47" s="37"/>
      <c r="I47" s="37"/>
      <c r="J47" s="37"/>
      <c r="K47" s="37"/>
      <c r="L47" s="37"/>
      <c r="M47" s="37"/>
      <c r="N47" s="37"/>
    </row>
    <row r="48" spans="2:15" ht="18" customHeight="1">
      <c r="F48" s="42"/>
      <c r="G48" s="37"/>
      <c r="H48" s="37"/>
      <c r="I48" s="37"/>
      <c r="J48" s="37"/>
      <c r="K48" s="37"/>
      <c r="L48" s="37"/>
      <c r="M48" s="37"/>
      <c r="N48" s="37"/>
    </row>
    <row r="53" spans="6:7">
      <c r="F53" s="122"/>
    </row>
    <row r="54" spans="6:7">
      <c r="F54" s="123"/>
    </row>
    <row r="57" spans="6:7">
      <c r="F57" s="123"/>
    </row>
    <row r="60" spans="6:7" ht="18" customHeight="1">
      <c r="F60" s="124"/>
      <c r="G60" s="113"/>
    </row>
    <row r="61" spans="6:7">
      <c r="G61" s="115"/>
    </row>
    <row r="62" spans="6:7">
      <c r="G62" s="115"/>
    </row>
    <row r="63" spans="6:7">
      <c r="G63" s="115"/>
    </row>
    <row r="64" spans="6:7">
      <c r="G64" s="115"/>
    </row>
    <row r="65" spans="6:7">
      <c r="G65" s="115"/>
    </row>
    <row r="74" spans="6:7" ht="15" customHeight="1">
      <c r="F74" s="125"/>
      <c r="G74" s="125"/>
    </row>
    <row r="75" spans="6:7" ht="15" customHeight="1">
      <c r="F75" s="125"/>
    </row>
    <row r="76" spans="6:7">
      <c r="G76" s="115"/>
    </row>
  </sheetData>
  <mergeCells count="3">
    <mergeCell ref="O7:Q7"/>
    <mergeCell ref="O22:Q22"/>
    <mergeCell ref="A1:C1"/>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topLeftCell="C3" zoomScale="90" zoomScaleNormal="90" workbookViewId="0">
      <selection activeCell="J26" sqref="J26"/>
    </sheetView>
  </sheetViews>
  <sheetFormatPr defaultColWidth="10.625" defaultRowHeight="14.25"/>
  <cols>
    <col min="1" max="1" width="14.625" customWidth="1"/>
    <col min="4" max="4" width="11.625" customWidth="1"/>
    <col min="5" max="5" width="2.75" customWidth="1"/>
    <col min="6" max="6" width="37.375" customWidth="1"/>
    <col min="7" max="13" width="12.625" customWidth="1"/>
  </cols>
  <sheetData>
    <row r="1" spans="1:15" ht="57" customHeight="1">
      <c r="A1" s="13" t="s">
        <v>118</v>
      </c>
      <c r="H1" s="134" t="str">
        <f>HYPERLINK("#'Contents'!A1", "Back to Table of Contents")</f>
        <v>Back to Table of Contents</v>
      </c>
    </row>
    <row r="2" spans="1:15" ht="18" customHeight="1">
      <c r="A2" s="130" t="s">
        <v>357</v>
      </c>
      <c r="B2" s="132"/>
      <c r="C2" s="132"/>
      <c r="D2" s="132"/>
      <c r="E2" s="132"/>
      <c r="F2" s="132"/>
      <c r="G2" s="132"/>
      <c r="H2" s="132"/>
      <c r="I2" s="132"/>
      <c r="J2" s="132"/>
      <c r="K2" s="132"/>
      <c r="L2" s="132"/>
      <c r="M2" s="132"/>
      <c r="N2" s="132"/>
      <c r="O2" s="132"/>
    </row>
    <row r="3" spans="1:15" ht="18" customHeight="1">
      <c r="A3" s="129">
        <f>YEAR(A2)</f>
        <v>2024</v>
      </c>
      <c r="B3" s="129" t="s">
        <v>358</v>
      </c>
      <c r="C3" s="132"/>
      <c r="D3" s="132"/>
      <c r="E3" s="132"/>
      <c r="F3" s="131"/>
      <c r="G3" s="133">
        <f>A3-1</f>
        <v>2023</v>
      </c>
      <c r="H3" s="133">
        <f t="shared" ref="H3:M3" si="0">G3+1</f>
        <v>2024</v>
      </c>
      <c r="I3" s="133">
        <f t="shared" si="0"/>
        <v>2025</v>
      </c>
      <c r="J3" s="133">
        <f t="shared" si="0"/>
        <v>2026</v>
      </c>
      <c r="K3" s="133">
        <f t="shared" si="0"/>
        <v>2027</v>
      </c>
      <c r="L3" s="133">
        <f t="shared" si="0"/>
        <v>2028</v>
      </c>
      <c r="M3" s="133">
        <f t="shared" si="0"/>
        <v>2029</v>
      </c>
      <c r="N3" s="132"/>
      <c r="O3" s="132"/>
    </row>
    <row r="4" spans="1:15" ht="18" customHeight="1">
      <c r="A4" s="129">
        <f>MONTH(A2)</f>
        <v>3</v>
      </c>
      <c r="B4" s="129" t="s">
        <v>358</v>
      </c>
      <c r="C4" s="132"/>
      <c r="D4" s="132"/>
      <c r="E4" s="132"/>
      <c r="F4" s="131"/>
      <c r="G4" s="132"/>
      <c r="H4" s="132"/>
      <c r="I4" s="132"/>
      <c r="J4" s="132"/>
      <c r="K4" s="132"/>
      <c r="L4" s="132"/>
      <c r="M4" s="132"/>
      <c r="N4" s="132"/>
      <c r="O4" s="132"/>
    </row>
    <row r="5" spans="1:15" ht="18" customHeight="1">
      <c r="B5" t="s">
        <v>358</v>
      </c>
      <c r="F5" s="21"/>
    </row>
    <row r="6" spans="1:15" ht="21.75" customHeight="1">
      <c r="B6" t="s">
        <v>358</v>
      </c>
      <c r="D6" s="17" t="s">
        <v>358</v>
      </c>
      <c r="F6" s="12" t="s">
        <v>79</v>
      </c>
      <c r="G6" s="20" t="s">
        <v>0</v>
      </c>
    </row>
    <row r="7" spans="1:15" ht="20.100000000000001" customHeight="1">
      <c r="B7" t="s">
        <v>358</v>
      </c>
      <c r="D7" s="17" t="s">
        <v>358</v>
      </c>
      <c r="F7" s="28" t="s">
        <v>63</v>
      </c>
      <c r="G7" s="128">
        <f>G3</f>
        <v>2023</v>
      </c>
      <c r="H7" s="18" t="str">
        <f t="shared" ref="H7:M7" si="1">CONCATENATE(H3," a")</f>
        <v>2024 a</v>
      </c>
      <c r="I7" s="11" t="str">
        <f t="shared" si="1"/>
        <v>2025 a</v>
      </c>
      <c r="J7" s="11" t="str">
        <f t="shared" si="1"/>
        <v>2026 a</v>
      </c>
      <c r="K7" s="11" t="str">
        <f t="shared" si="1"/>
        <v>2027 a</v>
      </c>
      <c r="L7" s="11" t="str">
        <f t="shared" si="1"/>
        <v>2028 a</v>
      </c>
      <c r="M7" s="11" t="str">
        <f t="shared" si="1"/>
        <v>2029 a</v>
      </c>
    </row>
    <row r="8" spans="1:15" ht="27.95" customHeight="1">
      <c r="B8" t="s">
        <v>358</v>
      </c>
      <c r="F8" s="23" t="s">
        <v>155</v>
      </c>
      <c r="G8" s="22"/>
      <c r="H8" s="22"/>
      <c r="I8" s="22"/>
      <c r="J8" s="22"/>
      <c r="K8" s="22"/>
      <c r="L8" s="22"/>
      <c r="M8" s="22"/>
    </row>
    <row r="9" spans="1:15" ht="20.100000000000001" customHeight="1">
      <c r="B9" s="17" t="s">
        <v>358</v>
      </c>
      <c r="F9" s="24" t="s">
        <v>139</v>
      </c>
      <c r="G9" s="16">
        <v>1.6</v>
      </c>
      <c r="H9" s="16">
        <v>1.5</v>
      </c>
      <c r="I9" s="16">
        <v>1.8</v>
      </c>
      <c r="J9" s="16">
        <v>1.867</v>
      </c>
      <c r="K9" s="16">
        <v>1.7909999999999999</v>
      </c>
      <c r="L9" s="16">
        <v>1.7250000000000001</v>
      </c>
      <c r="M9" s="16">
        <v>1.7250000000000001</v>
      </c>
    </row>
    <row r="10" spans="1:15" ht="20.100000000000001" customHeight="1">
      <c r="B10" s="17" t="s">
        <v>358</v>
      </c>
      <c r="F10" s="25" t="s">
        <v>22</v>
      </c>
      <c r="G10" s="16">
        <v>1.8</v>
      </c>
      <c r="H10" s="16">
        <v>1.4</v>
      </c>
      <c r="I10" s="16">
        <v>2.1</v>
      </c>
      <c r="J10" s="16">
        <v>2.1890000000000001</v>
      </c>
      <c r="K10" s="16">
        <v>2.2970000000000002</v>
      </c>
      <c r="L10" s="16">
        <v>2.302</v>
      </c>
      <c r="M10" s="16">
        <v>2.302</v>
      </c>
    </row>
    <row r="11" spans="1:15" ht="20.100000000000001" customHeight="1">
      <c r="B11" s="17" t="s">
        <v>358</v>
      </c>
      <c r="F11" s="25" t="s">
        <v>217</v>
      </c>
      <c r="G11" s="16">
        <v>0.6</v>
      </c>
      <c r="H11" s="16">
        <v>1.2</v>
      </c>
      <c r="I11" s="16">
        <v>1.9</v>
      </c>
      <c r="J11" s="16">
        <v>1.9750000000000001</v>
      </c>
      <c r="K11" s="16">
        <v>1.788</v>
      </c>
      <c r="L11" s="16">
        <v>1.659</v>
      </c>
      <c r="M11" s="16">
        <v>1.659</v>
      </c>
    </row>
    <row r="12" spans="1:15" ht="20.100000000000001" customHeight="1">
      <c r="B12" s="17" t="s">
        <v>358</v>
      </c>
      <c r="F12" s="26" t="s">
        <v>65</v>
      </c>
      <c r="G12" s="16">
        <v>0.8</v>
      </c>
      <c r="H12" s="16">
        <v>1</v>
      </c>
      <c r="I12" s="16">
        <v>1.7</v>
      </c>
      <c r="J12" s="16">
        <v>1.669</v>
      </c>
      <c r="K12" s="16">
        <v>1.5249999999999999</v>
      </c>
      <c r="L12" s="16">
        <v>1.4379999999999999</v>
      </c>
      <c r="M12" s="16">
        <v>1.4379999999999999</v>
      </c>
    </row>
    <row r="13" spans="1:15" ht="20.100000000000001" customHeight="1">
      <c r="B13" s="17" t="s">
        <v>358</v>
      </c>
      <c r="F13" s="26" t="s">
        <v>64</v>
      </c>
      <c r="G13" s="16">
        <v>-0.3</v>
      </c>
      <c r="H13" s="16">
        <v>0.5</v>
      </c>
      <c r="I13" s="16">
        <v>1.6</v>
      </c>
      <c r="J13" s="16">
        <v>1.881</v>
      </c>
      <c r="K13" s="16">
        <v>1.2889999999999999</v>
      </c>
      <c r="L13" s="16">
        <v>0.91400000000000003</v>
      </c>
      <c r="M13" s="16">
        <v>0.91400000000000003</v>
      </c>
    </row>
    <row r="14" spans="1:15" ht="20.100000000000001" customHeight="1">
      <c r="B14" s="17" t="s">
        <v>358</v>
      </c>
      <c r="F14" s="25" t="s">
        <v>55</v>
      </c>
      <c r="G14" s="16">
        <v>1.9</v>
      </c>
      <c r="H14" s="16">
        <v>0.9</v>
      </c>
      <c r="I14" s="16">
        <v>0.8</v>
      </c>
      <c r="J14" s="16">
        <v>0.48699999999999999</v>
      </c>
      <c r="K14" s="16">
        <v>0.41699999999999998</v>
      </c>
      <c r="L14" s="16">
        <v>0.41</v>
      </c>
      <c r="M14" s="16">
        <v>0.41</v>
      </c>
    </row>
    <row r="15" spans="1:15" ht="20.100000000000001" customHeight="1">
      <c r="B15" s="17" t="s">
        <v>358</v>
      </c>
      <c r="F15" s="25" t="s">
        <v>67</v>
      </c>
      <c r="G15" s="16">
        <v>1.121</v>
      </c>
      <c r="H15" s="16">
        <v>1.0429999999999999</v>
      </c>
      <c r="I15" s="16">
        <v>2.0640000000000001</v>
      </c>
      <c r="J15" s="16">
        <v>2.2450000000000001</v>
      </c>
      <c r="K15" s="16">
        <v>2.3980000000000001</v>
      </c>
      <c r="L15" s="16">
        <v>2.4</v>
      </c>
      <c r="M15" s="16">
        <v>2.4</v>
      </c>
    </row>
    <row r="16" spans="1:15" ht="20.100000000000001" customHeight="1">
      <c r="B16" s="17" t="s">
        <v>358</v>
      </c>
      <c r="F16" s="25" t="s">
        <v>82</v>
      </c>
      <c r="G16" s="16">
        <v>1.4</v>
      </c>
      <c r="H16" s="16">
        <v>2.2999999999999998</v>
      </c>
      <c r="I16" s="16">
        <v>2.2999999999999998</v>
      </c>
      <c r="J16" s="16">
        <v>2.246</v>
      </c>
      <c r="K16" s="16">
        <v>2.1739999999999999</v>
      </c>
      <c r="L16" s="16">
        <v>2.1139999999999999</v>
      </c>
      <c r="M16" s="16">
        <v>2.1139999999999999</v>
      </c>
    </row>
    <row r="17" spans="2:15" ht="20.100000000000001" customHeight="1">
      <c r="B17" s="17" t="s">
        <v>358</v>
      </c>
      <c r="F17" s="25" t="s">
        <v>66</v>
      </c>
      <c r="G17" s="16">
        <v>0.5</v>
      </c>
      <c r="H17" s="16">
        <v>0.6</v>
      </c>
      <c r="I17" s="16">
        <v>1.6</v>
      </c>
      <c r="J17" s="16">
        <v>2.0499999999999998</v>
      </c>
      <c r="K17" s="16">
        <v>1.823</v>
      </c>
      <c r="L17" s="16">
        <v>1.5249999999999999</v>
      </c>
      <c r="M17" s="16">
        <v>1.5249999999999999</v>
      </c>
    </row>
    <row r="18" spans="2:15" ht="27.95" customHeight="1">
      <c r="B18" s="17" t="s">
        <v>358</v>
      </c>
      <c r="F18" s="25" t="s">
        <v>57</v>
      </c>
      <c r="G18" s="16">
        <v>2.5</v>
      </c>
      <c r="H18" s="16">
        <v>2.1</v>
      </c>
      <c r="I18" s="16">
        <v>1.7</v>
      </c>
      <c r="J18" s="16">
        <v>2.0640000000000001</v>
      </c>
      <c r="K18" s="16">
        <v>2.12</v>
      </c>
      <c r="L18" s="16">
        <v>2.1219999999999999</v>
      </c>
      <c r="M18" s="16">
        <v>2.1219999999999999</v>
      </c>
    </row>
    <row r="19" spans="2:15" ht="20.100000000000001" customHeight="1">
      <c r="B19" s="17" t="s">
        <v>358</v>
      </c>
      <c r="F19" s="24" t="s">
        <v>116</v>
      </c>
      <c r="G19" s="16">
        <v>4.0999999999999996</v>
      </c>
      <c r="H19" s="16">
        <v>4.0999999999999996</v>
      </c>
      <c r="I19" s="16">
        <v>4.2</v>
      </c>
      <c r="J19" s="16">
        <v>4.0750000000000002</v>
      </c>
      <c r="K19" s="16">
        <v>4.0049999999999999</v>
      </c>
      <c r="L19" s="16">
        <v>3.9060000000000001</v>
      </c>
      <c r="M19" s="16">
        <v>3.9060000000000001</v>
      </c>
    </row>
    <row r="20" spans="2:15" ht="20.100000000000001" customHeight="1">
      <c r="B20" s="17" t="s">
        <v>358</v>
      </c>
      <c r="F20" s="26" t="s">
        <v>218</v>
      </c>
      <c r="G20" s="16">
        <v>4.875</v>
      </c>
      <c r="H20" s="16">
        <v>5.2910000000000004</v>
      </c>
      <c r="I20" s="16">
        <v>5.1980000000000004</v>
      </c>
      <c r="J20" s="16">
        <v>5.1390000000000002</v>
      </c>
      <c r="K20" s="16">
        <v>5.0419999999999998</v>
      </c>
      <c r="L20" s="16">
        <v>5.0419999999999998</v>
      </c>
      <c r="M20" s="16">
        <v>5.0419999999999998</v>
      </c>
    </row>
    <row r="21" spans="2:15" ht="20.100000000000001" customHeight="1">
      <c r="B21" s="17" t="s">
        <v>358</v>
      </c>
      <c r="F21" s="26" t="s">
        <v>120</v>
      </c>
      <c r="G21" s="16">
        <v>5.2</v>
      </c>
      <c r="H21" s="16">
        <v>4.5999999999999996</v>
      </c>
      <c r="I21" s="16">
        <v>4.0999999999999996</v>
      </c>
      <c r="J21" s="16">
        <v>4.0709999999999997</v>
      </c>
      <c r="K21" s="16">
        <v>3.6629999999999998</v>
      </c>
      <c r="L21" s="16">
        <v>3.38</v>
      </c>
      <c r="M21" s="16">
        <v>3.38</v>
      </c>
    </row>
    <row r="22" spans="2:15" ht="20.100000000000001" customHeight="1">
      <c r="B22" s="17" t="s">
        <v>358</v>
      </c>
      <c r="F22" s="26" t="s">
        <v>53</v>
      </c>
      <c r="G22" s="16">
        <v>0.84299999999999997</v>
      </c>
      <c r="H22" s="16">
        <v>2.9660000000000002</v>
      </c>
      <c r="I22" s="16">
        <v>2.7629999999999999</v>
      </c>
      <c r="J22" s="16">
        <v>2.625</v>
      </c>
      <c r="K22" s="16">
        <v>2.4990000000000001</v>
      </c>
      <c r="L22" s="16">
        <v>2.1160000000000001</v>
      </c>
      <c r="M22" s="16">
        <v>2.1160000000000001</v>
      </c>
    </row>
    <row r="23" spans="2:15" ht="20.100000000000001" customHeight="1">
      <c r="B23" s="17" t="s">
        <v>358</v>
      </c>
      <c r="F23" s="26" t="s">
        <v>140</v>
      </c>
      <c r="G23" s="16">
        <v>5.4</v>
      </c>
      <c r="H23" s="16">
        <v>5.2</v>
      </c>
      <c r="I23" s="16">
        <v>4.8</v>
      </c>
      <c r="J23" s="16">
        <v>4.8339999999999996</v>
      </c>
      <c r="K23" s="16">
        <v>4.6239999999999997</v>
      </c>
      <c r="L23" s="16">
        <v>4.4710000000000001</v>
      </c>
      <c r="M23" s="16">
        <v>4.4710000000000001</v>
      </c>
    </row>
    <row r="24" spans="2:15" ht="27.95" customHeight="1">
      <c r="B24" s="17" t="s">
        <v>358</v>
      </c>
      <c r="F24" s="26" t="s">
        <v>54</v>
      </c>
      <c r="G24" s="16">
        <v>6.7</v>
      </c>
      <c r="H24" s="16">
        <v>6.5</v>
      </c>
      <c r="I24" s="16">
        <v>6.5</v>
      </c>
      <c r="J24" s="16">
        <v>6.3159999999999998</v>
      </c>
      <c r="K24" s="16">
        <v>6.3490000000000002</v>
      </c>
      <c r="L24" s="16">
        <v>6.2629999999999999</v>
      </c>
      <c r="M24" s="16">
        <v>6.2629999999999999</v>
      </c>
    </row>
    <row r="25" spans="2:15" ht="27.95" customHeight="1">
      <c r="B25" s="17" t="s">
        <v>358</v>
      </c>
      <c r="F25" s="25" t="s">
        <v>68</v>
      </c>
      <c r="G25" s="16">
        <v>2.5</v>
      </c>
      <c r="H25" s="16">
        <v>1.9</v>
      </c>
      <c r="I25" s="16">
        <v>2.5</v>
      </c>
      <c r="J25" s="16">
        <v>2.4780000000000002</v>
      </c>
      <c r="K25" s="16">
        <v>2.57</v>
      </c>
      <c r="L25" s="16">
        <v>2.5209999999999999</v>
      </c>
      <c r="M25" s="16">
        <v>2.5209999999999999</v>
      </c>
    </row>
    <row r="26" spans="2:15" ht="27.95" customHeight="1">
      <c r="B26" s="17" t="s">
        <v>358</v>
      </c>
      <c r="F26" s="25" t="s">
        <v>69</v>
      </c>
      <c r="G26" s="16">
        <v>2.77</v>
      </c>
      <c r="H26" s="16">
        <v>2.85</v>
      </c>
      <c r="I26" s="16">
        <v>2.85</v>
      </c>
      <c r="J26" s="16">
        <v>2.8</v>
      </c>
      <c r="K26" s="16">
        <v>2.8</v>
      </c>
      <c r="L26" s="16">
        <v>2.8</v>
      </c>
      <c r="M26" s="16">
        <v>2.8</v>
      </c>
    </row>
    <row r="27" spans="2:15" ht="33.950000000000003" customHeight="1">
      <c r="B27" s="17" t="s">
        <v>358</v>
      </c>
      <c r="F27" s="24" t="s">
        <v>121</v>
      </c>
      <c r="G27" s="16">
        <v>3.1</v>
      </c>
      <c r="H27" s="16">
        <v>3.1</v>
      </c>
      <c r="I27" s="16">
        <v>3.2</v>
      </c>
      <c r="J27" s="16">
        <v>3.2029999999999998</v>
      </c>
      <c r="K27" s="16">
        <v>3.141</v>
      </c>
      <c r="L27" s="16">
        <v>3.0659999999999998</v>
      </c>
      <c r="M27" s="16">
        <v>3.0659999999999998</v>
      </c>
    </row>
    <row r="28" spans="2:15" ht="9.9499999999999993" customHeight="1">
      <c r="B28" t="s">
        <v>358</v>
      </c>
    </row>
    <row r="29" spans="2:15" ht="9.9499999999999993" customHeight="1">
      <c r="B29" t="s">
        <v>358</v>
      </c>
      <c r="F29" s="19" t="s">
        <v>0</v>
      </c>
      <c r="G29" s="20" t="s">
        <v>0</v>
      </c>
      <c r="O29" s="17" t="s">
        <v>358</v>
      </c>
    </row>
    <row r="30" spans="2:15" ht="18" customHeight="1">
      <c r="B30" t="s">
        <v>358</v>
      </c>
      <c r="F30" s="16" t="s">
        <v>119</v>
      </c>
      <c r="G30" s="20" t="s">
        <v>0</v>
      </c>
    </row>
    <row r="31" spans="2:15" ht="18" customHeight="1">
      <c r="B31" t="s">
        <v>358</v>
      </c>
      <c r="E31" s="14" t="s">
        <v>269</v>
      </c>
      <c r="F31" s="15" t="s">
        <v>270</v>
      </c>
      <c r="G31" s="20" t="s">
        <v>0</v>
      </c>
    </row>
    <row r="32" spans="2:15" ht="18" customHeight="1">
      <c r="B32" t="s">
        <v>358</v>
      </c>
      <c r="E32" s="14" t="s">
        <v>254</v>
      </c>
      <c r="F32" s="15" t="s">
        <v>271</v>
      </c>
      <c r="G32" s="20" t="s">
        <v>0</v>
      </c>
    </row>
    <row r="33" spans="2:15" ht="18" customHeight="1">
      <c r="B33" t="s">
        <v>358</v>
      </c>
      <c r="E33" s="14" t="s">
        <v>255</v>
      </c>
      <c r="F33" s="16" t="s">
        <v>272</v>
      </c>
    </row>
    <row r="34" spans="2:15" ht="18" customHeight="1">
      <c r="B34" t="s">
        <v>358</v>
      </c>
      <c r="E34" s="14" t="s">
        <v>256</v>
      </c>
      <c r="F34" s="15" t="s">
        <v>273</v>
      </c>
    </row>
    <row r="35" spans="2:15" ht="18" customHeight="1">
      <c r="B35" t="s">
        <v>358</v>
      </c>
      <c r="E35" s="14" t="s">
        <v>257</v>
      </c>
      <c r="F35" s="15" t="s">
        <v>274</v>
      </c>
    </row>
    <row r="36" spans="2:15" ht="18" customHeight="1">
      <c r="F36" s="16" t="s">
        <v>315</v>
      </c>
      <c r="O36" s="17" t="s">
        <v>358</v>
      </c>
    </row>
    <row r="41" spans="2:15" ht="18" customHeight="1">
      <c r="H41" s="27"/>
      <c r="I41" s="27"/>
      <c r="J41" s="27"/>
      <c r="K41" s="27"/>
      <c r="L41" s="27"/>
      <c r="M41" s="27"/>
    </row>
  </sheetData>
  <pageMargins left="0" right="0" top="0" bottom="0" header="0" footer="0"/>
  <pageSetup paperSize="9" scale="73"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5"/>
  <sheetViews>
    <sheetView zoomScale="90" zoomScaleNormal="90" workbookViewId="0">
      <selection activeCell="I21" sqref="I21"/>
    </sheetView>
  </sheetViews>
  <sheetFormatPr defaultColWidth="10.625" defaultRowHeight="14.25"/>
  <cols>
    <col min="1" max="1" width="14.625" customWidth="1"/>
    <col min="4" max="4" width="11.625" customWidth="1"/>
    <col min="5" max="5" width="3" customWidth="1"/>
    <col min="6" max="6" width="27.625" customWidth="1"/>
    <col min="7" max="7" width="9.625" customWidth="1"/>
    <col min="8" max="10" width="12.625" customWidth="1"/>
    <col min="11" max="14" width="12.75" customWidth="1"/>
  </cols>
  <sheetData>
    <row r="1" spans="1:16" ht="57" customHeight="1">
      <c r="A1" s="13" t="s">
        <v>118</v>
      </c>
      <c r="H1" s="134" t="str">
        <f>HYPERLINK("#'Contents'!A1", "Back to Table of Contents")</f>
        <v>Back to Table of Contents</v>
      </c>
    </row>
    <row r="2" spans="1:16" ht="18" customHeight="1">
      <c r="A2" s="130" t="s">
        <v>357</v>
      </c>
      <c r="B2" s="132"/>
      <c r="C2" s="132"/>
      <c r="D2" s="132"/>
      <c r="E2" s="132"/>
      <c r="F2" s="132"/>
      <c r="G2" s="132"/>
      <c r="H2" s="133">
        <f>A3-1</f>
        <v>2023</v>
      </c>
      <c r="I2" s="133">
        <f t="shared" ref="I2:N2" si="0">H2+1</f>
        <v>2024</v>
      </c>
      <c r="J2" s="133">
        <f t="shared" si="0"/>
        <v>2025</v>
      </c>
      <c r="K2" s="133">
        <f t="shared" si="0"/>
        <v>2026</v>
      </c>
      <c r="L2" s="133">
        <f t="shared" si="0"/>
        <v>2027</v>
      </c>
      <c r="M2" s="133">
        <f t="shared" si="0"/>
        <v>2028</v>
      </c>
      <c r="N2" s="133">
        <f t="shared" si="0"/>
        <v>2029</v>
      </c>
      <c r="O2" s="132"/>
      <c r="P2" s="132"/>
    </row>
    <row r="3" spans="1:16" ht="18" customHeight="1">
      <c r="A3" s="129">
        <f>YEAR(A2)</f>
        <v>2024</v>
      </c>
      <c r="B3" s="129" t="s">
        <v>358</v>
      </c>
      <c r="C3" s="132"/>
      <c r="D3" s="132"/>
      <c r="E3" s="132"/>
      <c r="F3" s="131"/>
      <c r="G3" s="132"/>
      <c r="H3" s="133" t="str">
        <f t="shared" ref="H3:N3" si="1">CONCATENATE(H$2-1,"-",RIGHT(H$2,2))</f>
        <v>2022-23</v>
      </c>
      <c r="I3" s="133" t="str">
        <f t="shared" si="1"/>
        <v>2023-24</v>
      </c>
      <c r="J3" s="133" t="str">
        <f t="shared" si="1"/>
        <v>2024-25</v>
      </c>
      <c r="K3" s="133" t="str">
        <f t="shared" si="1"/>
        <v>2025-26</v>
      </c>
      <c r="L3" s="133" t="str">
        <f t="shared" si="1"/>
        <v>2026-27</v>
      </c>
      <c r="M3" s="133" t="str">
        <f t="shared" si="1"/>
        <v>2027-28</v>
      </c>
      <c r="N3" s="133" t="str">
        <f t="shared" si="1"/>
        <v>2028-29</v>
      </c>
      <c r="O3" s="132"/>
      <c r="P3" s="132"/>
    </row>
    <row r="4" spans="1:16" ht="18" customHeight="1">
      <c r="A4" s="129">
        <f>MONTH(A2)</f>
        <v>3</v>
      </c>
      <c r="B4" s="129" t="s">
        <v>358</v>
      </c>
      <c r="C4" s="132"/>
      <c r="D4" s="132"/>
      <c r="E4" s="132"/>
      <c r="F4" s="131"/>
      <c r="G4" s="132"/>
      <c r="H4" s="132"/>
      <c r="I4" s="132"/>
      <c r="J4" s="132"/>
      <c r="K4" s="132"/>
      <c r="L4" s="132"/>
      <c r="M4" s="132"/>
      <c r="N4" s="132"/>
      <c r="O4" s="132"/>
      <c r="P4" s="132"/>
    </row>
    <row r="5" spans="1:16" ht="18" customHeight="1">
      <c r="B5" t="s">
        <v>358</v>
      </c>
      <c r="F5" s="30"/>
    </row>
    <row r="6" spans="1:16" ht="18" customHeight="1">
      <c r="B6" t="s">
        <v>358</v>
      </c>
      <c r="D6" s="29" t="s">
        <v>358</v>
      </c>
      <c r="F6" s="12" t="s">
        <v>78</v>
      </c>
      <c r="H6" s="31"/>
      <c r="I6" s="31"/>
      <c r="J6" s="31"/>
      <c r="K6" s="31"/>
      <c r="L6" s="31"/>
      <c r="M6" s="31"/>
      <c r="N6" s="31"/>
    </row>
    <row r="7" spans="1:16" ht="20.100000000000001" customHeight="1">
      <c r="B7" t="s">
        <v>358</v>
      </c>
      <c r="D7" s="29" t="s">
        <v>358</v>
      </c>
      <c r="F7" s="40"/>
      <c r="G7" s="41" t="s">
        <v>1</v>
      </c>
      <c r="H7" s="135" t="str">
        <f>CONCATENATE(H$2-1,"–",RIGHT(H$2,2))</f>
        <v>2022–23</v>
      </c>
      <c r="I7" s="41" t="str">
        <f t="shared" ref="I7:N7" si="2">CONCATENATE(CONCATENATE(I$2-1,"–",RIGHT(I$2,2))," a")</f>
        <v>2023–24 a</v>
      </c>
      <c r="J7" s="41" t="str">
        <f t="shared" si="2"/>
        <v>2024–25 a</v>
      </c>
      <c r="K7" s="41" t="str">
        <f t="shared" si="2"/>
        <v>2025–26 a</v>
      </c>
      <c r="L7" s="41" t="str">
        <f t="shared" si="2"/>
        <v>2026–27 a</v>
      </c>
      <c r="M7" s="41" t="str">
        <f t="shared" si="2"/>
        <v>2027–28 a</v>
      </c>
      <c r="N7" s="41" t="str">
        <f t="shared" si="2"/>
        <v>2028–29 a</v>
      </c>
    </row>
    <row r="8" spans="1:16" ht="27.95" customHeight="1">
      <c r="B8" s="29" t="s">
        <v>358</v>
      </c>
      <c r="F8" s="30" t="s">
        <v>122</v>
      </c>
      <c r="G8" s="32" t="s">
        <v>63</v>
      </c>
      <c r="H8" s="33">
        <v>7.0264765784114402</v>
      </c>
      <c r="I8" s="33">
        <v>4.0186774500475204</v>
      </c>
      <c r="J8" s="33">
        <v>3.17447612195103</v>
      </c>
      <c r="K8" s="33">
        <v>2.76141023617211</v>
      </c>
      <c r="L8" s="33">
        <v>2.5000000000000102</v>
      </c>
      <c r="M8" s="33">
        <v>2.50000000000006</v>
      </c>
      <c r="N8" s="33">
        <v>2.5000000000001998</v>
      </c>
    </row>
    <row r="9" spans="1:16" ht="27.95" customHeight="1">
      <c r="B9" s="29" t="s">
        <v>358</v>
      </c>
      <c r="F9" s="30" t="s">
        <v>219</v>
      </c>
      <c r="G9" s="32" t="s">
        <v>63</v>
      </c>
      <c r="H9" s="33">
        <v>2.9371647509578498</v>
      </c>
      <c r="I9" s="33">
        <v>4.1770676691729296</v>
      </c>
      <c r="J9" s="33" t="s">
        <v>359</v>
      </c>
      <c r="K9" s="33" t="s">
        <v>359</v>
      </c>
      <c r="L9" s="33" t="s">
        <v>359</v>
      </c>
      <c r="M9" s="33" t="s">
        <v>359</v>
      </c>
      <c r="N9" s="33" t="s">
        <v>359</v>
      </c>
    </row>
    <row r="10" spans="1:16" ht="27.95" customHeight="1">
      <c r="B10" s="29" t="s">
        <v>358</v>
      </c>
      <c r="F10" s="30" t="s">
        <v>220</v>
      </c>
      <c r="G10" s="32" t="s">
        <v>96</v>
      </c>
      <c r="H10" s="34">
        <v>0.67314860722610703</v>
      </c>
      <c r="I10" s="34">
        <v>0.66346115384615401</v>
      </c>
      <c r="J10" s="34">
        <v>0.69499999999999995</v>
      </c>
      <c r="K10" s="34">
        <v>0.73375000000000001</v>
      </c>
      <c r="L10" s="34">
        <v>0.75</v>
      </c>
      <c r="M10" s="34">
        <v>0.75</v>
      </c>
      <c r="N10" s="34">
        <v>0.75</v>
      </c>
    </row>
    <row r="11" spans="1:16" ht="9.9499999999999993" customHeight="1">
      <c r="B11" t="s">
        <v>358</v>
      </c>
      <c r="F11" s="30"/>
      <c r="G11" s="32"/>
      <c r="H11" s="35"/>
      <c r="I11" s="35"/>
      <c r="J11" s="35"/>
      <c r="K11" s="35"/>
      <c r="L11" s="35"/>
      <c r="M11" s="35"/>
      <c r="N11" s="35"/>
    </row>
    <row r="12" spans="1:16" ht="9.9499999999999993" customHeight="1">
      <c r="B12" t="s">
        <v>358</v>
      </c>
      <c r="G12" s="32"/>
      <c r="H12" s="36"/>
      <c r="I12" s="36"/>
      <c r="J12" s="36"/>
      <c r="K12" s="36"/>
      <c r="L12" s="36"/>
      <c r="M12" s="36"/>
      <c r="N12" s="36"/>
      <c r="P12" s="29" t="s">
        <v>358</v>
      </c>
    </row>
    <row r="13" spans="1:16" ht="18" customHeight="1">
      <c r="B13" t="s">
        <v>358</v>
      </c>
      <c r="F13" s="16" t="s">
        <v>119</v>
      </c>
      <c r="G13" s="32"/>
      <c r="H13" s="36"/>
      <c r="I13" s="36"/>
      <c r="J13" s="36"/>
      <c r="K13" s="36"/>
      <c r="L13" s="36"/>
      <c r="M13" s="36"/>
      <c r="N13" s="36"/>
    </row>
    <row r="14" spans="1:16" ht="18" customHeight="1">
      <c r="B14" t="s">
        <v>358</v>
      </c>
      <c r="E14" s="39" t="s">
        <v>269</v>
      </c>
      <c r="F14" s="24" t="s">
        <v>275</v>
      </c>
      <c r="G14" s="32"/>
      <c r="H14" s="31"/>
      <c r="I14" s="31"/>
      <c r="J14" s="31"/>
      <c r="K14" s="31"/>
      <c r="L14" s="31"/>
      <c r="M14" s="31"/>
      <c r="N14" s="31"/>
    </row>
    <row r="15" spans="1:16" ht="18" customHeight="1">
      <c r="B15" t="s">
        <v>358</v>
      </c>
      <c r="E15" s="39" t="s">
        <v>254</v>
      </c>
      <c r="F15" s="24" t="s">
        <v>271</v>
      </c>
    </row>
    <row r="16" spans="1:16" ht="18" customHeight="1">
      <c r="B16" t="s">
        <v>358</v>
      </c>
      <c r="E16" s="39" t="s">
        <v>256</v>
      </c>
      <c r="F16" s="24" t="s">
        <v>276</v>
      </c>
    </row>
    <row r="17" spans="2:16" ht="18" customHeight="1">
      <c r="B17" t="s">
        <v>358</v>
      </c>
      <c r="E17" s="39" t="s">
        <v>257</v>
      </c>
      <c r="F17" s="24" t="s">
        <v>277</v>
      </c>
      <c r="G17" s="32"/>
      <c r="H17" s="31"/>
      <c r="I17" s="31"/>
      <c r="J17" s="31"/>
      <c r="K17" s="31"/>
      <c r="L17" s="31"/>
      <c r="M17" s="31"/>
      <c r="N17" s="31"/>
      <c r="P17" s="29" t="s">
        <v>358</v>
      </c>
    </row>
    <row r="18" spans="2:16" ht="18" customHeight="1">
      <c r="F18" s="30" t="s">
        <v>316</v>
      </c>
      <c r="G18" s="32"/>
    </row>
    <row r="19" spans="2:16" ht="18" customHeight="1">
      <c r="F19" s="30"/>
      <c r="H19" s="37"/>
      <c r="I19" s="37"/>
      <c r="J19" s="37"/>
      <c r="K19" s="37"/>
      <c r="L19" s="37"/>
      <c r="M19" s="37"/>
      <c r="N19" s="37"/>
    </row>
    <row r="20" spans="2:16" ht="18" customHeight="1">
      <c r="F20" s="30"/>
      <c r="G20" s="32"/>
      <c r="H20" s="31"/>
      <c r="I20" s="31"/>
      <c r="J20" s="31"/>
      <c r="K20" s="31"/>
      <c r="L20" s="31"/>
      <c r="M20" s="31"/>
      <c r="N20" s="31"/>
    </row>
    <row r="21" spans="2:16" ht="18" customHeight="1">
      <c r="F21" s="30"/>
      <c r="G21" s="32"/>
      <c r="H21" s="35"/>
      <c r="I21" s="35"/>
      <c r="J21" s="35"/>
      <c r="K21" s="35"/>
      <c r="L21" s="35"/>
      <c r="M21" s="35"/>
      <c r="N21" s="35"/>
    </row>
    <row r="22" spans="2:16" ht="18" customHeight="1">
      <c r="F22" s="30"/>
      <c r="G22" s="32"/>
      <c r="H22" s="35"/>
      <c r="I22" s="35"/>
      <c r="J22" s="35"/>
      <c r="K22" s="35"/>
      <c r="L22" s="35"/>
      <c r="M22" s="35"/>
      <c r="N22" s="35"/>
    </row>
    <row r="23" spans="2:16" ht="18" customHeight="1">
      <c r="F23" s="38"/>
      <c r="G23" s="32"/>
      <c r="H23" s="35"/>
      <c r="I23" s="35"/>
      <c r="J23" s="35"/>
      <c r="K23" s="35"/>
      <c r="L23" s="35"/>
      <c r="M23" s="35"/>
      <c r="N23" s="35"/>
    </row>
    <row r="24" spans="2:16" ht="18" customHeight="1">
      <c r="G24" s="32"/>
      <c r="H24" s="35"/>
      <c r="I24" s="35"/>
      <c r="J24" s="35"/>
      <c r="K24" s="35"/>
      <c r="L24" s="35"/>
      <c r="M24" s="35"/>
      <c r="N24" s="35"/>
    </row>
    <row r="25" spans="2:16" ht="18" customHeight="1">
      <c r="H25" s="35"/>
      <c r="I25" s="35"/>
      <c r="J25" s="35"/>
      <c r="K25" s="35"/>
      <c r="L25" s="35"/>
      <c r="M25" s="35"/>
      <c r="N25" s="35"/>
    </row>
  </sheetData>
  <pageMargins left="0" right="0" top="0" bottom="0" header="0" footer="0"/>
  <pageSetup paperSize="9" scale="73"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
  <sheetViews>
    <sheetView zoomScale="90" zoomScaleNormal="90" workbookViewId="0">
      <selection activeCell="N26" sqref="N26"/>
    </sheetView>
  </sheetViews>
  <sheetFormatPr defaultColWidth="10.625" defaultRowHeight="14.25"/>
  <cols>
    <col min="1" max="1" width="14.625" customWidth="1"/>
    <col min="4" max="4" width="11.625" customWidth="1"/>
    <col min="5" max="5" width="3.125" customWidth="1"/>
    <col min="6" max="6" width="27.625" customWidth="1"/>
    <col min="7" max="7" width="9.625" customWidth="1"/>
    <col min="8" max="14" width="12.625" customWidth="1"/>
    <col min="18" max="18" width="11.25" customWidth="1"/>
  </cols>
  <sheetData>
    <row r="1" spans="1:18" ht="57" customHeight="1">
      <c r="A1" s="13" t="s">
        <v>118</v>
      </c>
      <c r="H1" s="134" t="str">
        <f>HYPERLINK("#'Contents'!A1", "Back to Table of Contents")</f>
        <v>Back to Table of Contents</v>
      </c>
    </row>
    <row r="2" spans="1:18" ht="18" customHeight="1">
      <c r="A2" s="130" t="s">
        <v>357</v>
      </c>
      <c r="B2" s="132"/>
      <c r="C2" s="132"/>
      <c r="D2" s="132"/>
      <c r="E2" s="132"/>
      <c r="F2" s="132"/>
      <c r="G2" s="132"/>
      <c r="H2" s="133">
        <f>A3-1</f>
        <v>2023</v>
      </c>
      <c r="I2" s="133">
        <f t="shared" ref="I2:N2" si="0">H2+1</f>
        <v>2024</v>
      </c>
      <c r="J2" s="133">
        <f t="shared" si="0"/>
        <v>2025</v>
      </c>
      <c r="K2" s="133">
        <f t="shared" si="0"/>
        <v>2026</v>
      </c>
      <c r="L2" s="133">
        <f t="shared" si="0"/>
        <v>2027</v>
      </c>
      <c r="M2" s="133">
        <f t="shared" si="0"/>
        <v>2028</v>
      </c>
      <c r="N2" s="133">
        <f t="shared" si="0"/>
        <v>2029</v>
      </c>
      <c r="O2" s="132"/>
      <c r="P2" s="132"/>
    </row>
    <row r="3" spans="1:18" ht="18" customHeight="1">
      <c r="A3" s="129">
        <f>YEAR(A2)</f>
        <v>2024</v>
      </c>
      <c r="B3" s="129" t="s">
        <v>358</v>
      </c>
      <c r="C3" s="132"/>
      <c r="D3" s="132"/>
      <c r="E3" s="132"/>
      <c r="F3" s="131"/>
      <c r="G3" s="132"/>
      <c r="H3" s="133" t="str">
        <f t="shared" ref="H3:N3" si="1">CONCATENATE(H$2-1,"-",RIGHT(H$2,2))</f>
        <v>2022-23</v>
      </c>
      <c r="I3" s="133" t="str">
        <f t="shared" si="1"/>
        <v>2023-24</v>
      </c>
      <c r="J3" s="133" t="str">
        <f t="shared" si="1"/>
        <v>2024-25</v>
      </c>
      <c r="K3" s="133" t="str">
        <f t="shared" si="1"/>
        <v>2025-26</v>
      </c>
      <c r="L3" s="133" t="str">
        <f t="shared" si="1"/>
        <v>2026-27</v>
      </c>
      <c r="M3" s="133" t="str">
        <f t="shared" si="1"/>
        <v>2027-28</v>
      </c>
      <c r="N3" s="133" t="str">
        <f t="shared" si="1"/>
        <v>2028-29</v>
      </c>
      <c r="O3" s="132"/>
      <c r="P3" s="132"/>
    </row>
    <row r="4" spans="1:18" ht="18" customHeight="1">
      <c r="A4" s="129">
        <f>MONTH(A2)</f>
        <v>3</v>
      </c>
      <c r="B4" s="129" t="s">
        <v>358</v>
      </c>
      <c r="C4" s="132"/>
      <c r="D4" s="132"/>
      <c r="E4" s="132"/>
      <c r="F4" s="131"/>
      <c r="G4" s="132"/>
      <c r="H4" s="132"/>
      <c r="I4" s="132"/>
      <c r="J4" s="132"/>
      <c r="K4" s="132"/>
      <c r="L4" s="132"/>
      <c r="M4" s="132"/>
      <c r="N4" s="132"/>
      <c r="O4" s="132"/>
      <c r="P4" s="132"/>
    </row>
    <row r="5" spans="1:18" ht="18" customHeight="1">
      <c r="B5" t="s">
        <v>358</v>
      </c>
      <c r="F5" s="30"/>
    </row>
    <row r="6" spans="1:18" ht="18" customHeight="1">
      <c r="B6" t="s">
        <v>358</v>
      </c>
      <c r="D6" s="29" t="s">
        <v>358</v>
      </c>
      <c r="F6" s="12" t="s">
        <v>98</v>
      </c>
      <c r="H6" s="31"/>
      <c r="I6" s="31"/>
      <c r="J6" s="31"/>
      <c r="K6" s="31"/>
      <c r="L6" s="31"/>
      <c r="M6" s="31"/>
      <c r="N6" s="31"/>
    </row>
    <row r="7" spans="1:18" ht="20.100000000000001" customHeight="1">
      <c r="B7" t="s">
        <v>358</v>
      </c>
      <c r="D7" s="29" t="s">
        <v>358</v>
      </c>
      <c r="F7" s="40"/>
      <c r="G7" s="41" t="s">
        <v>1</v>
      </c>
      <c r="H7" s="41" t="str">
        <f>CONCATENATE(H$2-1,"–",RIGHT(H$2,2))</f>
        <v>2022–23</v>
      </c>
      <c r="I7" s="41" t="str">
        <f>CONCATENATE(CONCATENATE(I$2-1,"–",RIGHT(I$2,2))," f")</f>
        <v>2023–24 f</v>
      </c>
      <c r="J7" s="41" t="str">
        <f>CONCATENATE(CONCATENATE(J$2-1,"–",RIGHT(J$2,2))," f")</f>
        <v>2024–25 f</v>
      </c>
      <c r="K7" s="41" t="str">
        <f>CONCATENATE(CONCATENATE(K$2-1,"–",RIGHT(K$2,2))," f")</f>
        <v>2025–26 f</v>
      </c>
      <c r="L7" s="41" t="str">
        <f>CONCATENATE(CONCATENATE(L$2-1,"–",RIGHT(L$2,2))," z")</f>
        <v>2026–27 z</v>
      </c>
      <c r="M7" s="41" t="str">
        <f>CONCATENATE(CONCATENATE(M$2-1,"–",RIGHT(M$2,2))," z")</f>
        <v>2027–28 z</v>
      </c>
      <c r="N7" s="41" t="str">
        <f>CONCATENATE(CONCATENATE(N$2-1,"–",RIGHT(N$2,2))," z")</f>
        <v>2028–29 z</v>
      </c>
      <c r="O7" s="41" t="s">
        <v>117</v>
      </c>
    </row>
    <row r="8" spans="1:18" ht="27.95" customHeight="1">
      <c r="B8" t="s">
        <v>358</v>
      </c>
      <c r="F8" s="43" t="s">
        <v>97</v>
      </c>
      <c r="G8" s="32"/>
      <c r="H8" s="45"/>
      <c r="I8" s="45"/>
      <c r="J8" s="45"/>
      <c r="K8" s="45"/>
      <c r="L8" s="45"/>
      <c r="M8" s="45"/>
      <c r="N8" s="45"/>
      <c r="O8" s="33"/>
    </row>
    <row r="9" spans="1:18" ht="20.100000000000001" customHeight="1">
      <c r="B9" s="29" t="s">
        <v>358</v>
      </c>
      <c r="F9" s="46" t="s">
        <v>94</v>
      </c>
      <c r="G9" s="32" t="s">
        <v>16</v>
      </c>
      <c r="H9" s="47">
        <v>466337.67113416898</v>
      </c>
      <c r="I9" s="47">
        <v>414570.78422008402</v>
      </c>
      <c r="J9" s="47">
        <v>363140.19084954099</v>
      </c>
      <c r="K9" s="47">
        <v>337701.88522539102</v>
      </c>
      <c r="L9" s="47">
        <v>336656.870707981</v>
      </c>
      <c r="M9" s="47">
        <v>339042.01163099898</v>
      </c>
      <c r="N9" s="47">
        <v>336128.27001748403</v>
      </c>
      <c r="O9" s="33">
        <f>((N9/H9)^(1/(N$2-H$2))-1)*100</f>
        <v>-5.3107325318278109</v>
      </c>
      <c r="R9" s="48"/>
    </row>
    <row r="10" spans="1:18" ht="20.100000000000001" customHeight="1">
      <c r="B10" s="29" t="s">
        <v>358</v>
      </c>
      <c r="F10" s="30" t="s">
        <v>126</v>
      </c>
      <c r="G10" s="32" t="s">
        <v>16</v>
      </c>
      <c r="H10" s="47">
        <v>485078.27796511399</v>
      </c>
      <c r="I10" s="47">
        <v>414570.78422008402</v>
      </c>
      <c r="J10" s="47">
        <v>351967.07993972598</v>
      </c>
      <c r="K10" s="47">
        <v>318515.92956704902</v>
      </c>
      <c r="L10" s="47">
        <v>309785.64464787999</v>
      </c>
      <c r="M10" s="47">
        <v>304371.13049896603</v>
      </c>
      <c r="N10" s="47">
        <v>294395.46529501601</v>
      </c>
      <c r="O10" s="33">
        <f t="shared" ref="O10:O14" si="2">((N10/H10)^(1/(N$2-H$2))-1)*100</f>
        <v>-7.9861474160409891</v>
      </c>
    </row>
    <row r="11" spans="1:18" ht="20.100000000000001" customHeight="1">
      <c r="B11" s="29" t="s">
        <v>358</v>
      </c>
      <c r="F11" s="30" t="s">
        <v>95</v>
      </c>
      <c r="G11" s="32" t="s">
        <v>16</v>
      </c>
      <c r="H11" s="47">
        <v>238710.97971099999</v>
      </c>
      <c r="I11" s="47">
        <v>180880.78454746801</v>
      </c>
      <c r="J11" s="47">
        <v>157375.63556431001</v>
      </c>
      <c r="K11" s="47">
        <v>140120.65817771599</v>
      </c>
      <c r="L11" s="47">
        <v>140436.703405126</v>
      </c>
      <c r="M11" s="47">
        <v>137686.24746347099</v>
      </c>
      <c r="N11" s="47">
        <v>130915.96440487501</v>
      </c>
      <c r="O11" s="33">
        <f t="shared" si="2"/>
        <v>-9.526782441646942</v>
      </c>
    </row>
    <row r="12" spans="1:18" ht="20.100000000000001" customHeight="1">
      <c r="B12" s="29" t="s">
        <v>358</v>
      </c>
      <c r="F12" s="30" t="s">
        <v>126</v>
      </c>
      <c r="G12" s="32" t="s">
        <v>16</v>
      </c>
      <c r="H12" s="47">
        <v>248304.00402343401</v>
      </c>
      <c r="I12" s="47">
        <v>180880.78454746801</v>
      </c>
      <c r="J12" s="47">
        <v>152533.496151019</v>
      </c>
      <c r="K12" s="47">
        <v>132159.94237412699</v>
      </c>
      <c r="L12" s="47">
        <v>129227.348323798</v>
      </c>
      <c r="M12" s="47">
        <v>123606.27107247101</v>
      </c>
      <c r="N12" s="47">
        <v>114661.781508334</v>
      </c>
      <c r="O12" s="33">
        <f t="shared" si="2"/>
        <v>-12.083074187801135</v>
      </c>
    </row>
    <row r="13" spans="1:18" ht="20.100000000000001" customHeight="1">
      <c r="B13" s="29" t="s">
        <v>358</v>
      </c>
      <c r="F13" s="30" t="s">
        <v>99</v>
      </c>
      <c r="G13" s="32" t="s">
        <v>16</v>
      </c>
      <c r="H13" s="47">
        <v>227626.69142316899</v>
      </c>
      <c r="I13" s="47">
        <v>233689.99967261599</v>
      </c>
      <c r="J13" s="47">
        <v>205764.55528523101</v>
      </c>
      <c r="K13" s="47">
        <v>197581.22704767599</v>
      </c>
      <c r="L13" s="47">
        <v>196220.167302855</v>
      </c>
      <c r="M13" s="47">
        <v>201355.76416752799</v>
      </c>
      <c r="N13" s="47">
        <v>205212.30561260899</v>
      </c>
      <c r="O13" s="33">
        <f t="shared" si="2"/>
        <v>-1.7128590168933977</v>
      </c>
    </row>
    <row r="14" spans="1:18" ht="20.100000000000001" customHeight="1">
      <c r="B14" s="29" t="s">
        <v>358</v>
      </c>
      <c r="F14" s="30" t="s">
        <v>126</v>
      </c>
      <c r="G14" s="32" t="s">
        <v>16</v>
      </c>
      <c r="H14" s="47">
        <v>236774.27394168099</v>
      </c>
      <c r="I14" s="47">
        <v>233689.99967261599</v>
      </c>
      <c r="J14" s="47">
        <v>199433.58378870701</v>
      </c>
      <c r="K14" s="47">
        <v>186355.98719292201</v>
      </c>
      <c r="L14" s="47">
        <v>180558.29632408201</v>
      </c>
      <c r="M14" s="47">
        <v>180764.85942649501</v>
      </c>
      <c r="N14" s="47">
        <v>179733.683786682</v>
      </c>
      <c r="O14" s="33">
        <f t="shared" si="2"/>
        <v>-4.4899306633854774</v>
      </c>
    </row>
    <row r="15" spans="1:18" ht="9.9499999999999993" customHeight="1">
      <c r="B15" t="s">
        <v>358</v>
      </c>
      <c r="G15" s="37" t="s">
        <v>0</v>
      </c>
    </row>
    <row r="16" spans="1:18" ht="9.9499999999999993" customHeight="1">
      <c r="B16" t="s">
        <v>358</v>
      </c>
      <c r="G16" s="37" t="s">
        <v>0</v>
      </c>
      <c r="P16" s="29" t="s">
        <v>358</v>
      </c>
    </row>
    <row r="17" spans="2:16" ht="18" customHeight="1">
      <c r="B17" t="s">
        <v>358</v>
      </c>
      <c r="F17" s="16" t="s">
        <v>119</v>
      </c>
    </row>
    <row r="18" spans="2:16" ht="18" customHeight="1">
      <c r="B18" t="s">
        <v>358</v>
      </c>
      <c r="E18" s="39" t="s">
        <v>254</v>
      </c>
      <c r="F18" s="42" t="s">
        <v>278</v>
      </c>
    </row>
    <row r="19" spans="2:16" ht="18" customHeight="1">
      <c r="B19" t="s">
        <v>358</v>
      </c>
      <c r="E19" s="39" t="s">
        <v>260</v>
      </c>
      <c r="F19" s="44" t="s">
        <v>296</v>
      </c>
    </row>
    <row r="20" spans="2:16" ht="18" customHeight="1">
      <c r="B20" t="s">
        <v>358</v>
      </c>
      <c r="E20" s="39" t="s">
        <v>262</v>
      </c>
      <c r="F20" s="44" t="s">
        <v>298</v>
      </c>
    </row>
    <row r="21" spans="2:16" ht="18" customHeight="1">
      <c r="B21" t="s">
        <v>358</v>
      </c>
      <c r="F21" s="42" t="s">
        <v>317</v>
      </c>
    </row>
    <row r="22" spans="2:16">
      <c r="B22" t="s">
        <v>358</v>
      </c>
    </row>
    <row r="23" spans="2:16" ht="18" customHeight="1">
      <c r="F23" s="30"/>
      <c r="G23" s="37" t="s">
        <v>0</v>
      </c>
      <c r="P23" s="29" t="s">
        <v>358</v>
      </c>
    </row>
  </sheetData>
  <pageMargins left="0" right="0" top="0" bottom="0" header="0" footer="0"/>
  <pageSetup paperSize="9" scale="7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2"/>
  <sheetViews>
    <sheetView topLeftCell="A3" zoomScale="90" zoomScaleNormal="90" workbookViewId="0">
      <selection activeCell="H11" sqref="H11"/>
    </sheetView>
  </sheetViews>
  <sheetFormatPr defaultColWidth="10.625" defaultRowHeight="14.25"/>
  <cols>
    <col min="1" max="1" width="14.625" customWidth="1"/>
    <col min="4" max="4" width="11.625" customWidth="1"/>
    <col min="5" max="5" width="2.5" customWidth="1"/>
    <col min="6" max="6" width="25.375" customWidth="1"/>
    <col min="7" max="7" width="7.625" customWidth="1"/>
    <col min="8" max="10" width="13.625" customWidth="1"/>
    <col min="11" max="13" width="1.625" hidden="1" customWidth="1"/>
    <col min="14" max="14" width="7.625" customWidth="1"/>
    <col min="15" max="17" width="13.625" customWidth="1"/>
  </cols>
  <sheetData>
    <row r="1" spans="1:19" ht="57" customHeight="1">
      <c r="A1" s="13" t="s">
        <v>118</v>
      </c>
      <c r="H1" s="134" t="str">
        <f>HYPERLINK("#'Contents'!A1", "Back to Table of Contents")</f>
        <v>Back to Table of Contents</v>
      </c>
    </row>
    <row r="2" spans="1:19" ht="18" customHeight="1">
      <c r="A2" s="130">
        <v>45369</v>
      </c>
      <c r="B2" s="132"/>
      <c r="C2" s="132"/>
      <c r="D2" s="132"/>
      <c r="E2" s="132"/>
      <c r="F2" s="132"/>
      <c r="G2" s="132"/>
      <c r="H2" s="133">
        <f>A3-1</f>
        <v>2023</v>
      </c>
      <c r="I2" s="133">
        <f>$A$3+5</f>
        <v>2029</v>
      </c>
      <c r="J2" s="132"/>
      <c r="K2" s="132"/>
      <c r="L2" s="132"/>
      <c r="M2" s="132"/>
      <c r="N2" s="132"/>
      <c r="O2" s="133">
        <f>H2</f>
        <v>2023</v>
      </c>
      <c r="P2" s="133">
        <f>I2</f>
        <v>2029</v>
      </c>
      <c r="Q2" s="132"/>
      <c r="R2" s="132"/>
      <c r="S2" s="132"/>
    </row>
    <row r="3" spans="1:19" ht="18" customHeight="1">
      <c r="A3" s="129">
        <f>YEAR(A2)</f>
        <v>2024</v>
      </c>
      <c r="B3" s="129" t="s">
        <v>358</v>
      </c>
      <c r="C3" s="132"/>
      <c r="D3" s="132"/>
      <c r="E3" s="132"/>
      <c r="F3" s="131"/>
      <c r="G3" s="132"/>
      <c r="H3" s="133" t="str">
        <f>CONCATENATE(H$2,"-",RIGHT(H$2+1,2))</f>
        <v>2023-24</v>
      </c>
      <c r="I3" s="133" t="str">
        <f>CONCATENATE(I$2-1,"-",RIGHT(I$2,2))</f>
        <v>2028-29</v>
      </c>
      <c r="J3" s="132"/>
      <c r="K3" s="132"/>
      <c r="L3" s="129" t="s">
        <v>358</v>
      </c>
      <c r="M3" s="132"/>
      <c r="N3" s="132"/>
      <c r="O3" s="133" t="str">
        <f>H3</f>
        <v>2023-24</v>
      </c>
      <c r="P3" s="133" t="str">
        <f>I3</f>
        <v>2028-29</v>
      </c>
      <c r="Q3" s="137"/>
      <c r="R3" s="132"/>
      <c r="S3" s="132"/>
    </row>
    <row r="4" spans="1:19" ht="18" customHeight="1">
      <c r="A4" s="129">
        <f>MONTH(A2)</f>
        <v>3</v>
      </c>
      <c r="B4" s="129" t="s">
        <v>358</v>
      </c>
      <c r="C4" s="132"/>
      <c r="D4" s="132"/>
      <c r="E4" s="132"/>
      <c r="F4" s="131"/>
      <c r="G4" s="138"/>
      <c r="H4" s="136"/>
      <c r="I4" s="136"/>
      <c r="J4" s="137"/>
      <c r="K4" s="139"/>
      <c r="L4" s="129" t="s">
        <v>358</v>
      </c>
      <c r="M4" s="132"/>
      <c r="N4" s="138"/>
      <c r="O4" s="136"/>
      <c r="P4" s="136"/>
      <c r="Q4" s="132"/>
      <c r="R4" s="132"/>
      <c r="S4" s="132"/>
    </row>
    <row r="5" spans="1:19">
      <c r="B5" t="s">
        <v>358</v>
      </c>
      <c r="L5" t="s">
        <v>358</v>
      </c>
    </row>
    <row r="6" spans="1:19" ht="21" customHeight="1">
      <c r="B6" t="s">
        <v>358</v>
      </c>
      <c r="D6" s="29" t="s">
        <v>358</v>
      </c>
      <c r="F6" s="12" t="s">
        <v>172</v>
      </c>
      <c r="G6" s="62"/>
      <c r="H6" s="62"/>
      <c r="I6" s="62"/>
      <c r="J6" s="62"/>
      <c r="K6" s="50"/>
      <c r="L6" s="63" t="s">
        <v>358</v>
      </c>
      <c r="M6" s="63"/>
      <c r="N6" s="62"/>
      <c r="O6" s="62"/>
      <c r="P6" s="62"/>
      <c r="Q6" s="62"/>
    </row>
    <row r="7" spans="1:19" ht="24.95" customHeight="1">
      <c r="A7" s="29"/>
      <c r="B7" t="s">
        <v>358</v>
      </c>
      <c r="F7" s="56"/>
      <c r="G7" s="163" t="s">
        <v>92</v>
      </c>
      <c r="H7" s="163"/>
      <c r="I7" s="163"/>
      <c r="J7" s="163"/>
      <c r="K7" s="57"/>
      <c r="L7" t="s">
        <v>358</v>
      </c>
      <c r="N7" s="163" t="s">
        <v>142</v>
      </c>
      <c r="O7" s="163"/>
      <c r="P7" s="163"/>
      <c r="Q7" s="163"/>
    </row>
    <row r="8" spans="1:19" ht="24.95" customHeight="1">
      <c r="B8" t="s">
        <v>358</v>
      </c>
      <c r="D8" s="29" t="s">
        <v>358</v>
      </c>
      <c r="F8" s="51"/>
      <c r="G8" s="54" t="s">
        <v>1</v>
      </c>
      <c r="H8" s="135" t="str">
        <f>CONCATENATE(CONCATENATE(H$2-1,"–",RIGHT(H$2,2)))</f>
        <v>2022–23</v>
      </c>
      <c r="I8" s="52" t="str">
        <f>CONCATENATE(CONCATENATE(I$2-1,"–",RIGHT(I$2,2))," z")</f>
        <v>2028–29 z</v>
      </c>
      <c r="J8" s="53" t="s">
        <v>117</v>
      </c>
      <c r="K8" s="55"/>
      <c r="L8" t="s">
        <v>358</v>
      </c>
      <c r="N8" s="54" t="s">
        <v>1</v>
      </c>
      <c r="O8" s="135" t="str">
        <f>H8</f>
        <v>2022–23</v>
      </c>
      <c r="P8" s="52" t="str">
        <f>I8</f>
        <v>2028–29 z</v>
      </c>
      <c r="Q8" s="53" t="s">
        <v>117</v>
      </c>
    </row>
    <row r="9" spans="1:19" ht="27.95" customHeight="1">
      <c r="B9" s="29" t="s">
        <v>358</v>
      </c>
      <c r="F9" s="30" t="s">
        <v>33</v>
      </c>
      <c r="G9" s="32" t="s">
        <v>4</v>
      </c>
      <c r="H9" s="47">
        <v>16566.417539999999</v>
      </c>
      <c r="I9" s="47">
        <v>16707.599999999999</v>
      </c>
      <c r="J9" s="33">
        <f t="shared" ref="J9:J21" si="0">((I9/H9)^(1/(I$2-H$2))-1)*100</f>
        <v>0.14153505355967155</v>
      </c>
      <c r="K9" s="58"/>
      <c r="L9" s="61" t="s">
        <v>358</v>
      </c>
      <c r="N9" s="32" t="s">
        <v>16</v>
      </c>
      <c r="O9" s="47">
        <v>8641.5118116848498</v>
      </c>
      <c r="P9" s="47">
        <v>7195.0617124474302</v>
      </c>
      <c r="Q9" s="33">
        <f t="shared" ref="Q9:Q21" si="1">((P9/O9)^(1/(P$2-O$2))-1)*100</f>
        <v>-3.0069091184560137</v>
      </c>
      <c r="R9" s="59"/>
    </row>
    <row r="10" spans="1:19" ht="20.25" customHeight="1">
      <c r="B10" s="29" t="s">
        <v>358</v>
      </c>
      <c r="F10" s="30" t="s">
        <v>75</v>
      </c>
      <c r="G10" s="32" t="s">
        <v>4</v>
      </c>
      <c r="H10" s="47">
        <v>1440.2476559199999</v>
      </c>
      <c r="I10" s="47">
        <v>1482.95</v>
      </c>
      <c r="J10" s="33">
        <f t="shared" si="0"/>
        <v>0.48815871566787461</v>
      </c>
      <c r="K10" s="58"/>
      <c r="L10" s="61" t="s">
        <v>358</v>
      </c>
      <c r="N10" s="32" t="s">
        <v>16</v>
      </c>
      <c r="O10" s="47">
        <v>5493.6846343448096</v>
      </c>
      <c r="P10" s="47">
        <v>4649.7176296171601</v>
      </c>
      <c r="Q10" s="33">
        <f t="shared" si="1"/>
        <v>-2.7415951348656709</v>
      </c>
      <c r="R10" s="59"/>
    </row>
    <row r="11" spans="1:19" ht="20.25" customHeight="1">
      <c r="B11" s="29" t="s">
        <v>358</v>
      </c>
      <c r="F11" s="30" t="s">
        <v>74</v>
      </c>
      <c r="G11" s="32" t="s">
        <v>4</v>
      </c>
      <c r="H11" s="47">
        <v>851.85327966051398</v>
      </c>
      <c r="I11" s="47">
        <v>1134.8392140467099</v>
      </c>
      <c r="J11" s="33">
        <f t="shared" si="0"/>
        <v>4.896642846953414</v>
      </c>
      <c r="K11" s="58"/>
      <c r="L11" s="61" t="s">
        <v>358</v>
      </c>
      <c r="N11" s="32" t="s">
        <v>16</v>
      </c>
      <c r="O11" s="47">
        <v>12754.595738633599</v>
      </c>
      <c r="P11" s="47">
        <v>16802.234406306201</v>
      </c>
      <c r="Q11" s="33">
        <f t="shared" si="1"/>
        <v>4.7008136942816803</v>
      </c>
      <c r="R11" s="59"/>
    </row>
    <row r="12" spans="1:19" ht="20.25" customHeight="1">
      <c r="B12" s="29" t="s">
        <v>358</v>
      </c>
      <c r="F12" s="30" t="s">
        <v>76</v>
      </c>
      <c r="G12" s="32" t="s">
        <v>36</v>
      </c>
      <c r="H12" s="47">
        <v>228.35683592999999</v>
      </c>
      <c r="I12" s="47">
        <v>275.24033996252001</v>
      </c>
      <c r="J12" s="33">
        <f t="shared" si="0"/>
        <v>3.1611903693380627</v>
      </c>
      <c r="K12" s="58"/>
      <c r="L12" s="61" t="s">
        <v>358</v>
      </c>
      <c r="N12" s="32" t="s">
        <v>16</v>
      </c>
      <c r="O12" s="47">
        <v>25386.447609227798</v>
      </c>
      <c r="P12" s="47">
        <v>19731.702771005901</v>
      </c>
      <c r="Q12" s="33">
        <f t="shared" si="1"/>
        <v>-4.1128438002334011</v>
      </c>
      <c r="R12" s="59"/>
    </row>
    <row r="13" spans="1:19" ht="20.25" customHeight="1">
      <c r="B13" s="29" t="s">
        <v>358</v>
      </c>
      <c r="F13" s="30" t="s">
        <v>42</v>
      </c>
      <c r="G13" s="37" t="s">
        <v>35</v>
      </c>
      <c r="H13" s="47">
        <v>894.53882763000001</v>
      </c>
      <c r="I13" s="47">
        <v>982.90286091526104</v>
      </c>
      <c r="J13" s="33">
        <f t="shared" si="0"/>
        <v>1.5824228958063014</v>
      </c>
      <c r="K13" s="60"/>
      <c r="L13" s="61" t="s">
        <v>358</v>
      </c>
      <c r="N13" s="37" t="s">
        <v>16</v>
      </c>
      <c r="O13" s="47">
        <v>129119.62091878599</v>
      </c>
      <c r="P13" s="47">
        <v>82761.225465935902</v>
      </c>
      <c r="Q13" s="33">
        <f t="shared" si="1"/>
        <v>-7.1448965028548583</v>
      </c>
      <c r="R13" s="59"/>
    </row>
    <row r="14" spans="1:19" ht="20.25" customHeight="1">
      <c r="B14" s="29"/>
      <c r="F14" s="30" t="s">
        <v>360</v>
      </c>
      <c r="G14" s="32" t="s">
        <v>339</v>
      </c>
      <c r="H14" s="47">
        <v>440</v>
      </c>
      <c r="I14" s="47">
        <v>676</v>
      </c>
      <c r="J14" s="33">
        <f t="shared" si="0"/>
        <v>7.4193046044745081</v>
      </c>
      <c r="K14" s="60"/>
      <c r="L14" s="61"/>
      <c r="N14" s="37" t="s">
        <v>16</v>
      </c>
      <c r="O14" s="47">
        <v>21005</v>
      </c>
      <c r="P14" s="47">
        <v>9138</v>
      </c>
      <c r="Q14" s="33">
        <f t="shared" si="1"/>
        <v>-12.952812291063321</v>
      </c>
      <c r="R14" s="59"/>
    </row>
    <row r="15" spans="1:19" ht="20.25" customHeight="1">
      <c r="B15" s="29" t="s">
        <v>358</v>
      </c>
      <c r="F15" s="30" t="s">
        <v>81</v>
      </c>
      <c r="G15" s="37" t="s">
        <v>4</v>
      </c>
      <c r="H15" s="47">
        <v>160.54317283423799</v>
      </c>
      <c r="I15" s="47">
        <v>213.98537037036999</v>
      </c>
      <c r="J15" s="33">
        <f t="shared" si="0"/>
        <v>4.9056084085579377</v>
      </c>
      <c r="L15" s="61" t="s">
        <v>358</v>
      </c>
      <c r="N15" s="37" t="s">
        <v>16</v>
      </c>
      <c r="O15" s="47">
        <v>5155.1019575788796</v>
      </c>
      <c r="P15" s="47">
        <v>3833.8437283019498</v>
      </c>
      <c r="Q15" s="33">
        <f t="shared" si="1"/>
        <v>-4.8155091356785977</v>
      </c>
      <c r="R15" s="59"/>
    </row>
    <row r="16" spans="1:19" ht="20.25" customHeight="1">
      <c r="B16" s="29" t="s">
        <v>358</v>
      </c>
      <c r="F16" s="30" t="s">
        <v>80</v>
      </c>
      <c r="G16" s="32" t="s">
        <v>4</v>
      </c>
      <c r="H16" s="47">
        <v>1247.45891871514</v>
      </c>
      <c r="I16" s="47">
        <v>1213.2045708072701</v>
      </c>
      <c r="J16" s="33">
        <f t="shared" si="0"/>
        <v>-0.4629808047191708</v>
      </c>
      <c r="K16" s="60"/>
      <c r="L16" s="61" t="s">
        <v>358</v>
      </c>
      <c r="N16" s="32" t="s">
        <v>16</v>
      </c>
      <c r="O16" s="47">
        <v>4488.6883790853699</v>
      </c>
      <c r="P16" s="47">
        <v>3305.8009159867302</v>
      </c>
      <c r="Q16" s="33">
        <f t="shared" si="1"/>
        <v>-4.9702602461515921</v>
      </c>
      <c r="R16" s="59"/>
    </row>
    <row r="17" spans="2:20" ht="20.25" customHeight="1">
      <c r="B17" s="29" t="s">
        <v>358</v>
      </c>
      <c r="F17" s="30" t="s">
        <v>91</v>
      </c>
      <c r="G17" s="32" t="s">
        <v>35</v>
      </c>
      <c r="H17" s="47">
        <v>81.530881730000004</v>
      </c>
      <c r="I17" s="47">
        <v>79.366</v>
      </c>
      <c r="J17" s="33">
        <f t="shared" si="0"/>
        <v>-0.44752561390873913</v>
      </c>
      <c r="L17" s="61" t="s">
        <v>358</v>
      </c>
      <c r="N17" s="32" t="s">
        <v>16</v>
      </c>
      <c r="O17" s="47">
        <v>95943.969959763795</v>
      </c>
      <c r="P17" s="47">
        <v>44801.869163843599</v>
      </c>
      <c r="Q17" s="33">
        <f t="shared" si="1"/>
        <v>-11.919506052254992</v>
      </c>
      <c r="R17" s="59"/>
    </row>
    <row r="18" spans="2:20" ht="20.25" customHeight="1">
      <c r="B18" s="29" t="s">
        <v>358</v>
      </c>
      <c r="F18" s="30" t="s">
        <v>43</v>
      </c>
      <c r="G18" s="37" t="s">
        <v>35</v>
      </c>
      <c r="H18" s="47">
        <v>156.28703168000001</v>
      </c>
      <c r="I18" s="47">
        <v>175.49115217136799</v>
      </c>
      <c r="J18" s="33">
        <f t="shared" si="0"/>
        <v>1.9503482817609719</v>
      </c>
      <c r="K18" s="58"/>
      <c r="L18" s="61" t="s">
        <v>358</v>
      </c>
      <c r="N18" s="37" t="s">
        <v>16</v>
      </c>
      <c r="O18" s="47">
        <v>64410.685096128902</v>
      </c>
      <c r="P18" s="47">
        <v>35233.380191197997</v>
      </c>
      <c r="Q18" s="33">
        <f t="shared" si="1"/>
        <v>-9.5657935723918897</v>
      </c>
      <c r="R18" s="59"/>
    </row>
    <row r="19" spans="2:20" ht="20.25" customHeight="1">
      <c r="B19" s="29" t="s">
        <v>358</v>
      </c>
      <c r="F19" s="30" t="s">
        <v>71</v>
      </c>
      <c r="G19" s="32" t="s">
        <v>35</v>
      </c>
      <c r="H19" s="47">
        <v>182.13054994000001</v>
      </c>
      <c r="I19" s="47">
        <v>206.749185927621</v>
      </c>
      <c r="J19" s="33">
        <f t="shared" si="0"/>
        <v>2.135527178596508</v>
      </c>
      <c r="K19" s="60"/>
      <c r="L19" s="61" t="s">
        <v>358</v>
      </c>
      <c r="N19" s="32" t="s">
        <v>16</v>
      </c>
      <c r="O19" s="47">
        <v>68132.338478669699</v>
      </c>
      <c r="P19" s="47">
        <v>21210.0021165703</v>
      </c>
      <c r="Q19" s="33">
        <f t="shared" si="1"/>
        <v>-17.675095404302144</v>
      </c>
      <c r="R19" s="59"/>
      <c r="T19" s="17"/>
    </row>
    <row r="20" spans="2:20" ht="20.25" customHeight="1">
      <c r="B20" s="29" t="s">
        <v>358</v>
      </c>
      <c r="F20" s="30" t="s">
        <v>73</v>
      </c>
      <c r="G20" s="32" t="s">
        <v>110</v>
      </c>
      <c r="H20" s="47">
        <v>281.50747319052698</v>
      </c>
      <c r="I20" s="47">
        <v>214.66895679250001</v>
      </c>
      <c r="J20" s="33">
        <f t="shared" si="0"/>
        <v>-4.4171697112781683</v>
      </c>
      <c r="K20" s="58"/>
      <c r="L20" s="61" t="s">
        <v>358</v>
      </c>
      <c r="N20" s="32" t="s">
        <v>16</v>
      </c>
      <c r="O20" s="47">
        <v>13723.0227445291</v>
      </c>
      <c r="P20" s="47">
        <v>6901.31575611686</v>
      </c>
      <c r="Q20" s="33">
        <f t="shared" si="1"/>
        <v>-10.824198959861098</v>
      </c>
      <c r="R20" s="59"/>
    </row>
    <row r="21" spans="2:20" ht="20.25" customHeight="1">
      <c r="B21" s="29" t="s">
        <v>358</v>
      </c>
      <c r="F21" s="30" t="s">
        <v>70</v>
      </c>
      <c r="G21" s="32" t="s">
        <v>36</v>
      </c>
      <c r="H21" s="47">
        <v>4809.2935960000004</v>
      </c>
      <c r="I21" s="47">
        <v>7217.0440009365602</v>
      </c>
      <c r="J21" s="33">
        <f t="shared" si="0"/>
        <v>6.998989715772197</v>
      </c>
      <c r="K21" s="58"/>
      <c r="L21" s="61" t="s">
        <v>358</v>
      </c>
      <c r="N21" s="32" t="s">
        <v>16</v>
      </c>
      <c r="O21" s="47">
        <v>844.113922489993</v>
      </c>
      <c r="P21" s="47">
        <v>2045.4413289552101</v>
      </c>
      <c r="Q21" s="33">
        <f t="shared" si="1"/>
        <v>15.894900571822879</v>
      </c>
      <c r="R21" s="59"/>
    </row>
    <row r="22" spans="2:20" ht="9.9499999999999993" customHeight="1">
      <c r="B22" t="s">
        <v>358</v>
      </c>
      <c r="G22" s="37" t="s">
        <v>0</v>
      </c>
      <c r="L22" t="s">
        <v>358</v>
      </c>
      <c r="N22" s="37" t="s">
        <v>0</v>
      </c>
    </row>
    <row r="23" spans="2:20" ht="9.9499999999999993" customHeight="1">
      <c r="B23" t="s">
        <v>358</v>
      </c>
      <c r="G23" s="37" t="s">
        <v>0</v>
      </c>
      <c r="L23" t="s">
        <v>358</v>
      </c>
      <c r="N23" s="37" t="s">
        <v>0</v>
      </c>
      <c r="S23" s="29" t="s">
        <v>358</v>
      </c>
    </row>
    <row r="24" spans="2:20" ht="18" customHeight="1">
      <c r="B24" t="s">
        <v>358</v>
      </c>
      <c r="F24" s="16" t="s">
        <v>119</v>
      </c>
      <c r="L24" t="s">
        <v>358</v>
      </c>
      <c r="N24" s="37" t="s">
        <v>0</v>
      </c>
    </row>
    <row r="25" spans="2:20" ht="18" customHeight="1">
      <c r="E25" s="39" t="s">
        <v>269</v>
      </c>
      <c r="F25" s="42" t="s">
        <v>361</v>
      </c>
      <c r="N25" s="37"/>
    </row>
    <row r="26" spans="2:20" ht="18" customHeight="1">
      <c r="B26" t="s">
        <v>358</v>
      </c>
      <c r="E26" s="39" t="s">
        <v>254</v>
      </c>
      <c r="F26" s="42" t="str">
        <f>CONCATENATE("In ", H3, " financial year Australian dollars.")</f>
        <v>In 2023-24 financial year Australian dollars.</v>
      </c>
      <c r="L26" t="s">
        <v>358</v>
      </c>
      <c r="N26" s="37" t="s">
        <v>0</v>
      </c>
    </row>
    <row r="27" spans="2:20" ht="18" customHeight="1">
      <c r="B27" t="s">
        <v>358</v>
      </c>
      <c r="E27" s="39" t="s">
        <v>262</v>
      </c>
      <c r="F27" s="49" t="s">
        <v>298</v>
      </c>
      <c r="L27" t="s">
        <v>358</v>
      </c>
      <c r="N27" s="37" t="s">
        <v>0</v>
      </c>
    </row>
    <row r="28" spans="2:20" ht="18" customHeight="1">
      <c r="B28" t="s">
        <v>358</v>
      </c>
      <c r="F28" s="49" t="s">
        <v>192</v>
      </c>
      <c r="L28" t="s">
        <v>358</v>
      </c>
    </row>
    <row r="29" spans="2:20" ht="18" customHeight="1">
      <c r="B29" t="s">
        <v>358</v>
      </c>
      <c r="F29" s="42" t="s">
        <v>317</v>
      </c>
      <c r="L29" t="s">
        <v>358</v>
      </c>
    </row>
    <row r="30" spans="2:20" ht="18" customHeight="1">
      <c r="B30" t="s">
        <v>358</v>
      </c>
      <c r="F30" s="29"/>
      <c r="G30" s="37" t="s">
        <v>0</v>
      </c>
      <c r="L30" t="s">
        <v>358</v>
      </c>
      <c r="N30" s="37" t="s">
        <v>0</v>
      </c>
    </row>
    <row r="31" spans="2:20">
      <c r="B31" t="s">
        <v>358</v>
      </c>
      <c r="L31" t="s">
        <v>358</v>
      </c>
    </row>
    <row r="32" spans="2:20" ht="18" customHeight="1">
      <c r="G32" s="37" t="s">
        <v>0</v>
      </c>
      <c r="N32" s="37" t="s">
        <v>0</v>
      </c>
      <c r="S32" s="29" t="s">
        <v>358</v>
      </c>
    </row>
  </sheetData>
  <mergeCells count="2">
    <mergeCell ref="G7:J7"/>
    <mergeCell ref="N7:Q7"/>
  </mergeCells>
  <pageMargins left="0" right="0" top="0" bottom="0" header="0" footer="0"/>
  <pageSetup paperSize="9" scale="7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5"/>
  <sheetViews>
    <sheetView zoomScale="80" zoomScaleNormal="80" workbookViewId="0">
      <pane xSplit="7" ySplit="8" topLeftCell="H13" activePane="bottomRight" state="frozen"/>
      <selection pane="topRight" activeCell="H1" sqref="H1"/>
      <selection pane="bottomLeft" activeCell="A9" sqref="A9"/>
      <selection pane="bottomRight" activeCell="H20" sqref="H20"/>
    </sheetView>
  </sheetViews>
  <sheetFormatPr defaultColWidth="10.625" defaultRowHeight="14.25"/>
  <cols>
    <col min="1" max="1" width="14.625" customWidth="1"/>
    <col min="4" max="4" width="11.625" customWidth="1"/>
    <col min="5" max="5" width="3.75" customWidth="1"/>
    <col min="6" max="6" width="33.25" customWidth="1"/>
    <col min="7" max="7" width="11.625" customWidth="1"/>
    <col min="8" max="14" width="12.625" customWidth="1"/>
    <col min="15" max="15" width="12.75" customWidth="1"/>
    <col min="16" max="33" width="12.625" customWidth="1"/>
  </cols>
  <sheetData>
    <row r="1" spans="1:33" ht="65.25" customHeight="1">
      <c r="A1" s="13" t="s">
        <v>118</v>
      </c>
      <c r="H1" s="134" t="str">
        <f>HYPERLINK("#'Contents'!A1", "Back to Table of Contents")</f>
        <v>Back to Table of Contents</v>
      </c>
    </row>
    <row r="2" spans="1:33" ht="14.25" customHeight="1">
      <c r="A2" s="130" t="s">
        <v>357</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row>
    <row r="3" spans="1:33" ht="20.100000000000001" customHeight="1">
      <c r="A3" s="129">
        <f>YEAR(A2)</f>
        <v>2024</v>
      </c>
      <c r="B3" s="129" t="s">
        <v>358</v>
      </c>
      <c r="C3" s="132"/>
      <c r="D3" s="132"/>
      <c r="E3" s="132"/>
      <c r="F3" s="131"/>
      <c r="G3" s="132"/>
      <c r="H3" s="133">
        <f>$A$3 - 1</f>
        <v>2023</v>
      </c>
      <c r="I3" s="133">
        <f>IF(H4=12,H3+1,H3)</f>
        <v>2023</v>
      </c>
      <c r="J3" s="133">
        <f>IF(I4=12,I3+1,I3)</f>
        <v>2024</v>
      </c>
      <c r="K3" s="133">
        <f t="shared" ref="K3:O3" si="0">IF(J4=12,J3+1,J3)</f>
        <v>2024</v>
      </c>
      <c r="L3" s="133">
        <f t="shared" si="0"/>
        <v>2024</v>
      </c>
      <c r="M3" s="133">
        <f t="shared" si="0"/>
        <v>2024</v>
      </c>
      <c r="N3" s="133">
        <f t="shared" si="0"/>
        <v>2025</v>
      </c>
      <c r="O3" s="133">
        <f t="shared" si="0"/>
        <v>2025</v>
      </c>
      <c r="P3" s="133">
        <f t="shared" ref="P3" si="1">IF(O4=12,O3+1,O3)</f>
        <v>2025</v>
      </c>
      <c r="Q3" s="133">
        <f t="shared" ref="Q3" si="2">IF(P4=12,P3+1,P3)</f>
        <v>2025</v>
      </c>
      <c r="R3" s="133">
        <f t="shared" ref="R3" si="3">IF(Q4=12,Q3+1,Q3)</f>
        <v>2026</v>
      </c>
      <c r="S3" s="133">
        <f t="shared" ref="S3" si="4">IF(R4=12,R3+1,R3)</f>
        <v>2026</v>
      </c>
      <c r="T3" s="133">
        <f t="shared" ref="T3" si="5">IF(S4=12,S3+1,S3)</f>
        <v>2026</v>
      </c>
      <c r="U3" s="133">
        <f t="shared" ref="U3" si="6">IF(T4=12,T3+1,T3)</f>
        <v>2026</v>
      </c>
      <c r="V3" s="133">
        <f t="shared" ref="V3" si="7">IF(U4=12,U3+1,U3)</f>
        <v>2027</v>
      </c>
      <c r="W3" s="133">
        <f t="shared" ref="W3" si="8">IF(V4=12,V3+1,V3)</f>
        <v>2027</v>
      </c>
      <c r="X3" s="133">
        <f t="shared" ref="X3" si="9">IF(W4=12,W3+1,W3)</f>
        <v>2027</v>
      </c>
      <c r="Y3" s="133">
        <f t="shared" ref="Y3" si="10">IF(X4=12,X3+1,X3)</f>
        <v>2027</v>
      </c>
      <c r="Z3" s="133">
        <f t="shared" ref="Z3" si="11">IF(Y4=12,Y3+1,Y3)</f>
        <v>2028</v>
      </c>
      <c r="AA3" s="133">
        <f t="shared" ref="AA3" si="12">IF(Z4=12,Z3+1,Z3)</f>
        <v>2028</v>
      </c>
      <c r="AB3" s="133">
        <f t="shared" ref="AB3" si="13">IF(AA4=12,AA3+1,AA3)</f>
        <v>2028</v>
      </c>
      <c r="AC3" s="133">
        <f t="shared" ref="AC3" si="14">IF(AB4=12,AB3+1,AB3)</f>
        <v>2028</v>
      </c>
      <c r="AD3" s="133">
        <f t="shared" ref="AD3" si="15">IF(AC4=12,AC3+1,AC3)</f>
        <v>2029</v>
      </c>
      <c r="AE3" s="133">
        <f t="shared" ref="AE3" si="16">IF(AD4=12,AD3+1,AD3)</f>
        <v>2029</v>
      </c>
      <c r="AF3" s="133">
        <f t="shared" ref="AF3" si="17">IF(AE4=12,AE3+1,AE3)</f>
        <v>2029</v>
      </c>
      <c r="AG3" s="133">
        <f t="shared" ref="AG3" si="18">IF(AF4=12,AF3+1,AF3)</f>
        <v>2029</v>
      </c>
    </row>
    <row r="4" spans="1:33" ht="20.100000000000001" customHeight="1">
      <c r="A4" s="129">
        <v>9</v>
      </c>
      <c r="B4" s="129" t="s">
        <v>358</v>
      </c>
      <c r="C4" s="132"/>
      <c r="D4" s="132"/>
      <c r="E4" s="132"/>
      <c r="F4" s="131"/>
      <c r="G4" s="138"/>
      <c r="H4" s="133">
        <f>A4</f>
        <v>9</v>
      </c>
      <c r="I4" s="133">
        <f>IF(H4=12,3,H4+3)</f>
        <v>12</v>
      </c>
      <c r="J4" s="133">
        <f>IF(I4=12,3,I4+3)</f>
        <v>3</v>
      </c>
      <c r="K4" s="133">
        <f t="shared" ref="K4:O4" si="19">IF(J4=12,3,J4+3)</f>
        <v>6</v>
      </c>
      <c r="L4" s="133">
        <f t="shared" si="19"/>
        <v>9</v>
      </c>
      <c r="M4" s="133">
        <f t="shared" si="19"/>
        <v>12</v>
      </c>
      <c r="N4" s="133">
        <f t="shared" si="19"/>
        <v>3</v>
      </c>
      <c r="O4" s="133">
        <f t="shared" si="19"/>
        <v>6</v>
      </c>
      <c r="P4" s="133">
        <f t="shared" ref="P4" si="20">IF(O4=12,3,O4+3)</f>
        <v>9</v>
      </c>
      <c r="Q4" s="133">
        <f t="shared" ref="Q4" si="21">IF(P4=12,3,P4+3)</f>
        <v>12</v>
      </c>
      <c r="R4" s="133">
        <f t="shared" ref="R4" si="22">IF(Q4=12,3,Q4+3)</f>
        <v>3</v>
      </c>
      <c r="S4" s="133">
        <f t="shared" ref="S4" si="23">IF(R4=12,3,R4+3)</f>
        <v>6</v>
      </c>
      <c r="T4" s="133">
        <f t="shared" ref="T4" si="24">IF(S4=12,3,S4+3)</f>
        <v>9</v>
      </c>
      <c r="U4" s="133">
        <f t="shared" ref="U4" si="25">IF(T4=12,3,T4+3)</f>
        <v>12</v>
      </c>
      <c r="V4" s="133">
        <f t="shared" ref="V4" si="26">IF(U4=12,3,U4+3)</f>
        <v>3</v>
      </c>
      <c r="W4" s="133">
        <f t="shared" ref="W4" si="27">IF(V4=12,3,V4+3)</f>
        <v>6</v>
      </c>
      <c r="X4" s="133">
        <f t="shared" ref="X4" si="28">IF(W4=12,3,W4+3)</f>
        <v>9</v>
      </c>
      <c r="Y4" s="133">
        <f t="shared" ref="Y4" si="29">IF(X4=12,3,X4+3)</f>
        <v>12</v>
      </c>
      <c r="Z4" s="133">
        <f t="shared" ref="Z4" si="30">IF(Y4=12,3,Y4+3)</f>
        <v>3</v>
      </c>
      <c r="AA4" s="133">
        <f t="shared" ref="AA4" si="31">IF(Z4=12,3,Z4+3)</f>
        <v>6</v>
      </c>
      <c r="AB4" s="133">
        <f t="shared" ref="AB4" si="32">IF(AA4=12,3,AA4+3)</f>
        <v>9</v>
      </c>
      <c r="AC4" s="133">
        <f t="shared" ref="AC4" si="33">IF(AB4=12,3,AB4+3)</f>
        <v>12</v>
      </c>
      <c r="AD4" s="133">
        <f t="shared" ref="AD4" si="34">IF(AC4=12,3,AC4+3)</f>
        <v>3</v>
      </c>
      <c r="AE4" s="133">
        <f t="shared" ref="AE4" si="35">IF(AD4=12,3,AD4+3)</f>
        <v>6</v>
      </c>
      <c r="AF4" s="133">
        <f t="shared" ref="AF4" si="36">IF(AE4=12,3,AE4+3)</f>
        <v>9</v>
      </c>
      <c r="AG4" s="133">
        <f t="shared" ref="AG4" si="37">IF(AF4=12,3,AF4+3)</f>
        <v>12</v>
      </c>
    </row>
    <row r="5" spans="1:33" ht="20.100000000000001" customHeight="1">
      <c r="B5" t="s">
        <v>358</v>
      </c>
      <c r="F5" s="29"/>
      <c r="H5" s="52"/>
      <c r="I5" s="52"/>
      <c r="J5" s="52"/>
      <c r="K5" s="52"/>
      <c r="L5" s="52"/>
      <c r="M5" s="52"/>
      <c r="N5" s="52"/>
      <c r="O5" s="52"/>
    </row>
    <row r="6" spans="1:33" ht="20.100000000000001" customHeight="1">
      <c r="B6" t="s">
        <v>358</v>
      </c>
      <c r="F6" s="12" t="s">
        <v>168</v>
      </c>
      <c r="G6" s="62"/>
      <c r="H6" s="63"/>
      <c r="I6" s="63"/>
      <c r="J6" s="63"/>
      <c r="K6" s="63"/>
      <c r="L6" s="63"/>
      <c r="M6" s="63"/>
      <c r="N6" s="63"/>
      <c r="O6" s="63"/>
    </row>
    <row r="7" spans="1:33" ht="20.100000000000001" customHeight="1">
      <c r="A7" s="29"/>
      <c r="B7" t="s">
        <v>358</v>
      </c>
      <c r="D7" s="29" t="s">
        <v>358</v>
      </c>
      <c r="G7" s="163"/>
      <c r="H7" s="163"/>
      <c r="I7" s="163"/>
      <c r="J7" s="163"/>
      <c r="K7" s="163"/>
      <c r="L7" s="163"/>
      <c r="M7" s="163"/>
      <c r="N7" s="163"/>
      <c r="O7" s="163"/>
      <c r="P7" s="164"/>
      <c r="Q7" s="164"/>
      <c r="R7" s="164"/>
      <c r="S7" s="164"/>
      <c r="T7" s="164"/>
      <c r="U7" s="164"/>
      <c r="V7" s="164"/>
      <c r="W7" s="164"/>
      <c r="X7" s="164"/>
      <c r="Y7" s="164"/>
      <c r="Z7" s="164"/>
      <c r="AA7" s="164"/>
      <c r="AB7" s="164"/>
      <c r="AC7" s="164"/>
      <c r="AD7" s="164"/>
      <c r="AE7" s="164"/>
      <c r="AF7" s="64"/>
      <c r="AG7" s="64"/>
    </row>
    <row r="8" spans="1:33" ht="20.100000000000001" customHeight="1">
      <c r="B8" t="s">
        <v>358</v>
      </c>
      <c r="D8" s="29" t="s">
        <v>358</v>
      </c>
      <c r="F8" s="51"/>
      <c r="G8" s="54" t="s">
        <v>1</v>
      </c>
      <c r="H8" s="140">
        <f t="shared" ref="H8:I8" si="38">DATE(H3,H4,1)</f>
        <v>45170</v>
      </c>
      <c r="I8" s="66">
        <f t="shared" si="38"/>
        <v>45261</v>
      </c>
      <c r="J8" s="66" t="str">
        <f>IF(J4=3,"Mar",IF(J4=6,"Jun",IF(J4=9,"Sep","Dec")))&amp;"-"&amp;RIGHT(J3,2)&amp;"  f"</f>
        <v>Mar-24  f</v>
      </c>
      <c r="K8" s="66" t="str">
        <f>IF(K4=3,"Mar",IF(K4=6,"Jun",IF(K4=9,"Sep","Dec")))&amp;"-"&amp;RIGHT(K3,2)&amp;"  f"</f>
        <v>Jun-24  f</v>
      </c>
      <c r="L8" s="66" t="str">
        <f>IF(L4=3,"Mar",IF(L4=6,"Jun",IF(L4=9,"Sep","Dec")))&amp;"-"&amp;RIGHT(L3,2)&amp;"  f"</f>
        <v>Sep-24  f</v>
      </c>
      <c r="M8" s="66" t="str">
        <f>IF(M4=3,"Mar",IF(M4=6,"Jun",IF(M4=9,"Sep","Dec")))&amp;"-"&amp;RIGHT(M3,2)&amp;"  f"</f>
        <v>Dec-24  f</v>
      </c>
      <c r="N8" s="66" t="str">
        <f t="shared" ref="N8:U8" si="39">IF(N4=3,"Mar",IF(N4=6,"Jun",IF(N4=9,"Sep","Dec")))&amp;"-"&amp;RIGHT(N3,2)&amp;"  f"</f>
        <v>Mar-25  f</v>
      </c>
      <c r="O8" s="66" t="str">
        <f t="shared" si="39"/>
        <v>Jun-25  f</v>
      </c>
      <c r="P8" s="66" t="str">
        <f t="shared" si="39"/>
        <v>Sep-25  f</v>
      </c>
      <c r="Q8" s="66" t="str">
        <f t="shared" si="39"/>
        <v>Dec-25  f</v>
      </c>
      <c r="R8" s="66" t="str">
        <f t="shared" si="39"/>
        <v>Mar-26  f</v>
      </c>
      <c r="S8" s="66" t="str">
        <f t="shared" si="39"/>
        <v>Jun-26  f</v>
      </c>
      <c r="T8" s="66" t="str">
        <f t="shared" si="39"/>
        <v>Sep-26  f</v>
      </c>
      <c r="U8" s="66" t="str">
        <f t="shared" si="39"/>
        <v>Dec-26  f</v>
      </c>
      <c r="V8" s="66" t="str">
        <f>IF(V4=3,"Mar",IF(V4=6,"Jun",IF(V4=9,"Sep","Dec")))&amp;"-"&amp;RIGHT(V3,2)&amp;"  z"</f>
        <v>Mar-27  z</v>
      </c>
      <c r="W8" s="66" t="str">
        <f>IF(W4=3,"Mar",IF(W4=6,"Jun",IF(W4=9,"Sep","Dec")))&amp;"-"&amp;RIGHT(W3,2)&amp;"  z"</f>
        <v>Jun-27  z</v>
      </c>
      <c r="X8" s="66" t="str">
        <f>IF(X4=3,"Mar",IF(X4=6,"Jun",IF(X4=9,"Sep","Dec")))&amp;"-"&amp;RIGHT(X3,2)&amp;" z "</f>
        <v xml:space="preserve">Sep-27 z </v>
      </c>
      <c r="Y8" s="66" t="str">
        <f t="shared" ref="Y8:AG8" si="40">IF(Y4=3,"Mar",IF(Y4=6,"Jun",IF(Y4=9,"Sep","Dec")))&amp;"-"&amp;RIGHT(Y3,2)&amp;"  z"</f>
        <v>Dec-27  z</v>
      </c>
      <c r="Z8" s="66" t="str">
        <f t="shared" si="40"/>
        <v>Mar-28  z</v>
      </c>
      <c r="AA8" s="66" t="str">
        <f t="shared" si="40"/>
        <v>Jun-28  z</v>
      </c>
      <c r="AB8" s="66" t="str">
        <f t="shared" si="40"/>
        <v>Sep-28  z</v>
      </c>
      <c r="AC8" s="66" t="str">
        <f t="shared" si="40"/>
        <v>Dec-28  z</v>
      </c>
      <c r="AD8" s="66" t="str">
        <f t="shared" si="40"/>
        <v>Mar-29  z</v>
      </c>
      <c r="AE8" s="66" t="str">
        <f t="shared" si="40"/>
        <v>Jun-29  z</v>
      </c>
      <c r="AF8" s="66" t="str">
        <f t="shared" si="40"/>
        <v>Sep-29  z</v>
      </c>
      <c r="AG8" s="66" t="str">
        <f t="shared" si="40"/>
        <v>Dec-29  z</v>
      </c>
    </row>
    <row r="9" spans="1:33" ht="20.100000000000001" customHeight="1">
      <c r="B9" s="67" t="s">
        <v>358</v>
      </c>
      <c r="F9" s="29" t="s">
        <v>173</v>
      </c>
      <c r="G9" s="32" t="s">
        <v>9</v>
      </c>
      <c r="H9" s="47">
        <v>340.94200000000001</v>
      </c>
      <c r="I9" s="47">
        <v>334</v>
      </c>
      <c r="J9" s="47">
        <v>344.02</v>
      </c>
      <c r="K9" s="47">
        <v>344.36401999999998</v>
      </c>
      <c r="L9" s="47">
        <v>347.80766019999999</v>
      </c>
      <c r="M9" s="47">
        <v>351.28573680199997</v>
      </c>
      <c r="N9" s="47">
        <v>348.82673664438602</v>
      </c>
      <c r="O9" s="47">
        <v>350.57087032760802</v>
      </c>
      <c r="P9" s="47">
        <v>352.32372467924603</v>
      </c>
      <c r="Q9" s="47">
        <v>355.84696192603798</v>
      </c>
      <c r="R9" s="47">
        <v>348.73002268751702</v>
      </c>
      <c r="S9" s="47">
        <v>352.21732291439298</v>
      </c>
      <c r="T9" s="47">
        <v>356.79614811227998</v>
      </c>
      <c r="U9" s="47">
        <v>362.14809033396398</v>
      </c>
      <c r="V9" s="47">
        <v>354.905128527285</v>
      </c>
      <c r="W9" s="47">
        <v>358.45417981255702</v>
      </c>
      <c r="X9" s="47">
        <v>362.03872161068301</v>
      </c>
      <c r="Y9" s="47">
        <v>365.65910882678997</v>
      </c>
      <c r="Z9" s="47">
        <v>358.345926650254</v>
      </c>
      <c r="AA9" s="47">
        <v>361.92938591675698</v>
      </c>
      <c r="AB9" s="47">
        <v>366.63446793367399</v>
      </c>
      <c r="AC9" s="47">
        <v>372.13398495267899</v>
      </c>
      <c r="AD9" s="47">
        <v>364.69130525362601</v>
      </c>
      <c r="AE9" s="47">
        <v>371.62044005344501</v>
      </c>
      <c r="AF9" s="47">
        <v>378.68122841446001</v>
      </c>
      <c r="AG9" s="47">
        <v>385.87617175433502</v>
      </c>
    </row>
    <row r="10" spans="1:33" ht="20.100000000000001" customHeight="1">
      <c r="B10" s="67" t="s">
        <v>358</v>
      </c>
      <c r="F10" s="30" t="s">
        <v>174</v>
      </c>
      <c r="G10" s="32" t="s">
        <v>9</v>
      </c>
      <c r="H10" s="47">
        <v>2154.359375</v>
      </c>
      <c r="I10" s="47">
        <v>2190.3888888888901</v>
      </c>
      <c r="J10" s="47">
        <v>2195</v>
      </c>
      <c r="K10" s="47">
        <v>2275</v>
      </c>
      <c r="L10" s="47">
        <v>2350</v>
      </c>
      <c r="M10" s="47">
        <v>2375</v>
      </c>
      <c r="N10" s="47">
        <v>2400</v>
      </c>
      <c r="O10" s="47">
        <v>2450</v>
      </c>
      <c r="P10" s="47">
        <v>2500</v>
      </c>
      <c r="Q10" s="47">
        <v>2530</v>
      </c>
      <c r="R10" s="47">
        <v>2550</v>
      </c>
      <c r="S10" s="47">
        <v>2570</v>
      </c>
      <c r="T10" s="47">
        <v>2590</v>
      </c>
      <c r="U10" s="47">
        <v>2610</v>
      </c>
      <c r="V10" s="47">
        <v>2620</v>
      </c>
      <c r="W10" s="47">
        <v>2635.72</v>
      </c>
      <c r="X10" s="47">
        <v>2651.5343200000002</v>
      </c>
      <c r="Y10" s="47">
        <v>2667.44352592</v>
      </c>
      <c r="Z10" s="47">
        <v>2640.7690906608</v>
      </c>
      <c r="AA10" s="47">
        <v>2656.6137052047602</v>
      </c>
      <c r="AB10" s="47">
        <v>2669.8967737307898</v>
      </c>
      <c r="AC10" s="47">
        <v>2683.24625759944</v>
      </c>
      <c r="AD10" s="47">
        <v>2689.9543732434399</v>
      </c>
      <c r="AE10" s="47">
        <v>2696.6792591765502</v>
      </c>
      <c r="AF10" s="47">
        <v>2703.4209573244898</v>
      </c>
      <c r="AG10" s="47">
        <v>2710.1795097178001</v>
      </c>
    </row>
    <row r="11" spans="1:33" ht="20.100000000000001" customHeight="1">
      <c r="B11" s="67" t="s">
        <v>358</v>
      </c>
      <c r="F11" s="30" t="s">
        <v>175</v>
      </c>
      <c r="G11" s="32" t="s">
        <v>9</v>
      </c>
      <c r="H11" s="47">
        <v>8355.9639249639295</v>
      </c>
      <c r="I11" s="47">
        <v>8169.23963317384</v>
      </c>
      <c r="J11" s="47">
        <v>8192.75453673023</v>
      </c>
      <c r="K11" s="47">
        <v>8373.32546237721</v>
      </c>
      <c r="L11" s="47">
        <v>8576.1864823778105</v>
      </c>
      <c r="M11" s="47">
        <v>8537.9471072546803</v>
      </c>
      <c r="N11" s="47">
        <v>8655.5523091234099</v>
      </c>
      <c r="O11" s="47">
        <v>8827.0919935479396</v>
      </c>
      <c r="P11" s="47">
        <v>9003.9006821435105</v>
      </c>
      <c r="Q11" s="47">
        <v>8876.5997160116403</v>
      </c>
      <c r="R11" s="47">
        <v>9090.1863297514992</v>
      </c>
      <c r="S11" s="47">
        <v>9361.0700065571</v>
      </c>
      <c r="T11" s="47">
        <v>9579.4884827275291</v>
      </c>
      <c r="U11" s="47">
        <v>9408.8119108948504</v>
      </c>
      <c r="V11" s="47">
        <v>9579.1530205381096</v>
      </c>
      <c r="W11" s="47">
        <v>9618.3061673994907</v>
      </c>
      <c r="X11" s="47">
        <v>9706.5879924709498</v>
      </c>
      <c r="Y11" s="47">
        <v>9757.6624116924595</v>
      </c>
      <c r="Z11" s="47">
        <v>9794.4477136426303</v>
      </c>
      <c r="AA11" s="47">
        <v>9941.7663259897199</v>
      </c>
      <c r="AB11" s="47">
        <v>10043.5287491086</v>
      </c>
      <c r="AC11" s="47">
        <v>10001.5713098169</v>
      </c>
      <c r="AD11" s="47">
        <v>10094.0070903577</v>
      </c>
      <c r="AE11" s="47">
        <v>10102.995112127999</v>
      </c>
      <c r="AF11" s="47">
        <v>10351.277428408799</v>
      </c>
      <c r="AG11" s="47">
        <v>10281.4565295544</v>
      </c>
    </row>
    <row r="12" spans="1:33" ht="20.100000000000001" customHeight="1">
      <c r="B12" s="67" t="s">
        <v>358</v>
      </c>
      <c r="F12" s="30" t="s">
        <v>176</v>
      </c>
      <c r="G12" s="32" t="s">
        <v>9</v>
      </c>
      <c r="H12" s="47">
        <v>1928.6130952381</v>
      </c>
      <c r="I12" s="47">
        <v>1975.8667557932299</v>
      </c>
      <c r="J12" s="47">
        <v>2050</v>
      </c>
      <c r="K12" s="47">
        <v>2025</v>
      </c>
      <c r="L12" s="47">
        <v>2000</v>
      </c>
      <c r="M12" s="47">
        <v>2015</v>
      </c>
      <c r="N12" s="47">
        <v>2030</v>
      </c>
      <c r="O12" s="47">
        <v>2040</v>
      </c>
      <c r="P12" s="47">
        <v>2050</v>
      </c>
      <c r="Q12" s="47">
        <v>2000</v>
      </c>
      <c r="R12" s="47">
        <v>1950</v>
      </c>
      <c r="S12" s="47">
        <v>1925</v>
      </c>
      <c r="T12" s="47">
        <v>1920</v>
      </c>
      <c r="U12" s="47">
        <v>1900</v>
      </c>
      <c r="V12" s="47">
        <v>1890</v>
      </c>
      <c r="W12" s="47">
        <v>1880</v>
      </c>
      <c r="X12" s="47">
        <v>1870</v>
      </c>
      <c r="Y12" s="47">
        <v>1860</v>
      </c>
      <c r="Z12" s="47">
        <v>1869.3</v>
      </c>
      <c r="AA12" s="47">
        <v>1878.6465000000001</v>
      </c>
      <c r="AB12" s="47">
        <v>1888.0397324999999</v>
      </c>
      <c r="AC12" s="47">
        <v>1897.4799311625</v>
      </c>
      <c r="AD12" s="47">
        <v>1916.45473047412</v>
      </c>
      <c r="AE12" s="47">
        <v>1935.6192777788699</v>
      </c>
      <c r="AF12" s="47">
        <v>1954.97547055665</v>
      </c>
      <c r="AG12" s="47">
        <v>1974.5252252622199</v>
      </c>
    </row>
    <row r="13" spans="1:33" ht="20.100000000000001" customHeight="1">
      <c r="B13" s="67" t="s">
        <v>358</v>
      </c>
      <c r="F13" s="30" t="s">
        <v>177</v>
      </c>
      <c r="G13" s="32" t="s">
        <v>9</v>
      </c>
      <c r="H13" s="47">
        <v>102.25623656250001</v>
      </c>
      <c r="I13" s="47">
        <v>109.414173121875</v>
      </c>
      <c r="J13" s="47">
        <v>107.30688628871</v>
      </c>
      <c r="K13" s="47">
        <v>94.644673706641996</v>
      </c>
      <c r="L13" s="47">
        <v>89.912440021309905</v>
      </c>
      <c r="M13" s="47">
        <v>87.2150668206706</v>
      </c>
      <c r="N13" s="47">
        <v>86.3429161524639</v>
      </c>
      <c r="O13" s="47">
        <v>84.616057829414601</v>
      </c>
      <c r="P13" s="47">
        <v>82.923736672826294</v>
      </c>
      <c r="Q13" s="47">
        <v>81.265261939369793</v>
      </c>
      <c r="R13" s="47">
        <v>78.8273040811887</v>
      </c>
      <c r="S13" s="47">
        <v>77.250757999564897</v>
      </c>
      <c r="T13" s="47">
        <v>75.705742839573603</v>
      </c>
      <c r="U13" s="47">
        <v>75.554331353894398</v>
      </c>
      <c r="V13" s="47">
        <v>75</v>
      </c>
      <c r="W13" s="47">
        <v>75</v>
      </c>
      <c r="X13" s="47">
        <v>75</v>
      </c>
      <c r="Y13" s="47">
        <v>75</v>
      </c>
      <c r="Z13" s="47">
        <v>75</v>
      </c>
      <c r="AA13" s="47">
        <v>75</v>
      </c>
      <c r="AB13" s="47">
        <v>75</v>
      </c>
      <c r="AC13" s="47">
        <v>75</v>
      </c>
      <c r="AD13" s="47">
        <v>75</v>
      </c>
      <c r="AE13" s="47">
        <v>75</v>
      </c>
      <c r="AF13" s="47">
        <v>75</v>
      </c>
      <c r="AG13" s="47">
        <v>75</v>
      </c>
    </row>
    <row r="14" spans="1:33" ht="20.100000000000001" customHeight="1">
      <c r="B14" s="67" t="s">
        <v>358</v>
      </c>
      <c r="F14" s="29" t="s">
        <v>178</v>
      </c>
      <c r="G14" s="32" t="s">
        <v>9</v>
      </c>
      <c r="H14" s="47">
        <v>20344.140625</v>
      </c>
      <c r="I14" s="47">
        <v>17246.9047619048</v>
      </c>
      <c r="J14" s="47">
        <v>17016.876264519498</v>
      </c>
      <c r="K14" s="47">
        <v>16920</v>
      </c>
      <c r="L14" s="47">
        <v>16910</v>
      </c>
      <c r="M14" s="47">
        <v>16970</v>
      </c>
      <c r="N14" s="47">
        <v>17700</v>
      </c>
      <c r="O14" s="47">
        <v>17700</v>
      </c>
      <c r="P14" s="47">
        <v>17600</v>
      </c>
      <c r="Q14" s="47">
        <v>17600</v>
      </c>
      <c r="R14" s="47">
        <v>18400</v>
      </c>
      <c r="S14" s="47">
        <v>18300</v>
      </c>
      <c r="T14" s="47">
        <v>18400</v>
      </c>
      <c r="U14" s="47">
        <v>18400</v>
      </c>
      <c r="V14" s="47">
        <v>19500</v>
      </c>
      <c r="W14" s="47">
        <v>19600</v>
      </c>
      <c r="X14" s="47">
        <v>19600</v>
      </c>
      <c r="Y14" s="47">
        <v>19600</v>
      </c>
      <c r="Z14" s="47">
        <v>20600</v>
      </c>
      <c r="AA14" s="47">
        <v>20600</v>
      </c>
      <c r="AB14" s="47">
        <v>20500</v>
      </c>
      <c r="AC14" s="47">
        <v>20500</v>
      </c>
      <c r="AD14" s="47">
        <v>21400</v>
      </c>
      <c r="AE14" s="47">
        <v>21400</v>
      </c>
      <c r="AF14" s="47">
        <v>21400</v>
      </c>
      <c r="AG14" s="47">
        <v>21400</v>
      </c>
    </row>
    <row r="15" spans="1:33" ht="20.100000000000001" customHeight="1">
      <c r="B15" s="67" t="s">
        <v>358</v>
      </c>
      <c r="F15" s="30" t="s">
        <v>179</v>
      </c>
      <c r="G15" s="32" t="s">
        <v>9</v>
      </c>
      <c r="H15" s="47">
        <v>2428.15625</v>
      </c>
      <c r="I15" s="47">
        <v>2498.0634920634898</v>
      </c>
      <c r="J15" s="47">
        <v>2545.8338096190901</v>
      </c>
      <c r="K15" s="47">
        <v>2578.4034178636598</v>
      </c>
      <c r="L15" s="47">
        <v>2615.1196123704499</v>
      </c>
      <c r="M15" s="47">
        <v>2634.6038026475198</v>
      </c>
      <c r="N15" s="47">
        <v>2631.6997513198698</v>
      </c>
      <c r="O15" s="47">
        <v>2637.4922626057</v>
      </c>
      <c r="P15" s="47">
        <v>2650.07875955084</v>
      </c>
      <c r="Q15" s="47">
        <v>2666.37423813634</v>
      </c>
      <c r="R15" s="47">
        <v>2708.2937450025302</v>
      </c>
      <c r="S15" s="47">
        <v>2723.9996167812201</v>
      </c>
      <c r="T15" s="47">
        <v>2743.1412499764101</v>
      </c>
      <c r="U15" s="47">
        <v>2757.3970047398702</v>
      </c>
      <c r="V15" s="47">
        <v>2820.90768072947</v>
      </c>
      <c r="W15" s="47">
        <v>2831.1153209435902</v>
      </c>
      <c r="X15" s="47">
        <v>2845.5555420075698</v>
      </c>
      <c r="Y15" s="47">
        <v>2868.0486102638802</v>
      </c>
      <c r="Z15" s="47">
        <v>2921.5827523206499</v>
      </c>
      <c r="AA15" s="47">
        <v>2880.9884560217301</v>
      </c>
      <c r="AB15" s="47">
        <v>2915.3012130941702</v>
      </c>
      <c r="AC15" s="47">
        <v>2949.59502875215</v>
      </c>
      <c r="AD15" s="47">
        <v>3013.3894244276898</v>
      </c>
      <c r="AE15" s="47">
        <v>3036.6300841621801</v>
      </c>
      <c r="AF15" s="47">
        <v>3060.0294395488399</v>
      </c>
      <c r="AG15" s="47">
        <v>3069.1874905876798</v>
      </c>
    </row>
    <row r="16" spans="1:33" ht="20.100000000000001" customHeight="1">
      <c r="B16" s="67" t="s">
        <v>358</v>
      </c>
      <c r="F16" s="30" t="s">
        <v>180</v>
      </c>
      <c r="G16" s="32" t="s">
        <v>138</v>
      </c>
      <c r="H16" s="159">
        <v>11.1339901434688</v>
      </c>
      <c r="I16" s="157">
        <v>11.347945253099599</v>
      </c>
      <c r="J16" s="157">
        <v>12.639752689439</v>
      </c>
      <c r="K16" s="157">
        <v>12.4174736559777</v>
      </c>
      <c r="L16" s="157">
        <v>12.3180883391931</v>
      </c>
      <c r="M16" s="157">
        <v>11.7928733978996</v>
      </c>
      <c r="N16" s="157">
        <v>11.2049438089605</v>
      </c>
      <c r="O16" s="157">
        <v>11.004461799568301</v>
      </c>
      <c r="P16" s="160">
        <v>10.7281048046191</v>
      </c>
      <c r="Q16" s="158">
        <v>10.8255253304792</v>
      </c>
      <c r="R16" s="158">
        <v>10.1592157907066</v>
      </c>
      <c r="S16" s="158">
        <v>10.0151752065615</v>
      </c>
      <c r="T16" s="158">
        <v>10.543110764490899</v>
      </c>
      <c r="U16" s="158">
        <v>10.5789731561267</v>
      </c>
      <c r="V16" s="158">
        <v>10.200086110098299</v>
      </c>
      <c r="W16" s="158">
        <v>10.0833105237284</v>
      </c>
      <c r="X16" s="158">
        <v>10.0860116225639</v>
      </c>
      <c r="Y16" s="158">
        <v>10.168456417898801</v>
      </c>
      <c r="Z16" s="158">
        <v>10.0851208290297</v>
      </c>
      <c r="AA16" s="158">
        <v>10.2861172153711</v>
      </c>
      <c r="AB16" s="158">
        <v>10.346520806094899</v>
      </c>
      <c r="AC16" s="158">
        <v>9.38567648929215</v>
      </c>
      <c r="AD16" s="158">
        <v>9.4594982393474307</v>
      </c>
      <c r="AE16" s="158">
        <v>9.4516799550344999</v>
      </c>
      <c r="AF16" s="158">
        <v>9.4670317159928992</v>
      </c>
      <c r="AG16" s="158">
        <v>9.4594982393474307</v>
      </c>
    </row>
    <row r="17" spans="2:33" ht="20.100000000000001" customHeight="1">
      <c r="B17" s="67" t="s">
        <v>358</v>
      </c>
      <c r="F17" s="30" t="s">
        <v>181</v>
      </c>
      <c r="G17" s="32" t="s">
        <v>9</v>
      </c>
      <c r="H17" s="47">
        <v>261.14846153846202</v>
      </c>
      <c r="I17" s="47">
        <v>324</v>
      </c>
      <c r="J17" s="47">
        <v>253.768201960173</v>
      </c>
      <c r="K17" s="47">
        <v>271.45780196017301</v>
      </c>
      <c r="L17" s="47">
        <v>259.60948196017301</v>
      </c>
      <c r="M17" s="47">
        <v>238.87015396017301</v>
      </c>
      <c r="N17" s="47">
        <v>211.822973450283</v>
      </c>
      <c r="O17" s="47">
        <v>220.75834113028299</v>
      </c>
      <c r="P17" s="47">
        <v>219.90663527428299</v>
      </c>
      <c r="Q17" s="47">
        <v>209.94166069937299</v>
      </c>
      <c r="R17" s="47">
        <v>209.396568951533</v>
      </c>
      <c r="S17" s="47">
        <v>208.96049555326101</v>
      </c>
      <c r="T17" s="47">
        <v>208.611636834644</v>
      </c>
      <c r="U17" s="47">
        <v>203.33254985975</v>
      </c>
      <c r="V17" s="47">
        <v>208.109280279834</v>
      </c>
      <c r="W17" s="47">
        <v>212.930664615902</v>
      </c>
      <c r="X17" s="47">
        <v>212.787772084756</v>
      </c>
      <c r="Y17" s="47">
        <v>207.67345805983999</v>
      </c>
      <c r="Z17" s="47">
        <v>207.582006839906</v>
      </c>
      <c r="AA17" s="47">
        <v>217.50884586396</v>
      </c>
      <c r="AB17" s="47">
        <v>207.450317083203</v>
      </c>
      <c r="AC17" s="47">
        <v>207.403494058597</v>
      </c>
      <c r="AD17" s="47">
        <v>207.366035638912</v>
      </c>
      <c r="AE17" s="47">
        <v>207.336068903164</v>
      </c>
      <c r="AF17" s="47">
        <v>207.31209551456601</v>
      </c>
      <c r="AG17" s="47">
        <v>197.292916803688</v>
      </c>
    </row>
    <row r="18" spans="2:33" ht="20.100000000000001" customHeight="1">
      <c r="B18" s="67" t="s">
        <v>358</v>
      </c>
      <c r="F18" s="30" t="s">
        <v>182</v>
      </c>
      <c r="G18" s="32" t="s">
        <v>9</v>
      </c>
      <c r="H18" s="47">
        <v>147.12384615384599</v>
      </c>
      <c r="I18" s="47">
        <v>134.967692307692</v>
      </c>
      <c r="J18" s="47">
        <v>139.127163461538</v>
      </c>
      <c r="K18" s="47">
        <v>121.127163461538</v>
      </c>
      <c r="L18" s="47">
        <v>124.627163461538</v>
      </c>
      <c r="M18" s="47">
        <v>124.927163461538</v>
      </c>
      <c r="N18" s="47">
        <v>129.127163461538</v>
      </c>
      <c r="O18" s="47">
        <v>119.127163461538</v>
      </c>
      <c r="P18" s="47">
        <v>120.527163461538</v>
      </c>
      <c r="Q18" s="47">
        <v>114.24716346153799</v>
      </c>
      <c r="R18" s="47">
        <v>127.127163461538</v>
      </c>
      <c r="S18" s="47">
        <v>112.527163461538</v>
      </c>
      <c r="T18" s="47">
        <v>111.24716346153799</v>
      </c>
      <c r="U18" s="47">
        <v>113.22316346153799</v>
      </c>
      <c r="V18" s="47">
        <v>127.403963461538</v>
      </c>
      <c r="W18" s="47">
        <v>108.748603461538</v>
      </c>
      <c r="X18" s="47">
        <v>113.224315461538</v>
      </c>
      <c r="Y18" s="47">
        <v>125.804885061538</v>
      </c>
      <c r="Z18" s="47">
        <v>130.46934074153799</v>
      </c>
      <c r="AA18" s="47">
        <v>122.200905285538</v>
      </c>
      <c r="AB18" s="47">
        <v>111.986156920738</v>
      </c>
      <c r="AC18" s="47">
        <v>109.814358228898</v>
      </c>
      <c r="AD18" s="47">
        <v>124.676919275426</v>
      </c>
      <c r="AE18" s="47">
        <v>111.56696811264899</v>
      </c>
      <c r="AF18" s="47">
        <v>111.479007182427</v>
      </c>
      <c r="AG18" s="47">
        <v>119.408638438249</v>
      </c>
    </row>
    <row r="19" spans="2:33" ht="20.100000000000001" customHeight="1">
      <c r="B19" s="67" t="s">
        <v>358</v>
      </c>
      <c r="F19" s="29" t="s">
        <v>153</v>
      </c>
      <c r="G19" s="32" t="s">
        <v>58</v>
      </c>
      <c r="H19" s="47">
        <v>80.770878318488201</v>
      </c>
      <c r="I19" s="47">
        <v>83.225481195792398</v>
      </c>
      <c r="J19" s="47">
        <v>81.978764621218005</v>
      </c>
      <c r="K19" s="47">
        <v>80.542773243646494</v>
      </c>
      <c r="L19" s="47">
        <v>79.0048113821002</v>
      </c>
      <c r="M19" s="47">
        <v>77.244988492382802</v>
      </c>
      <c r="N19" s="47">
        <v>75.680596237321396</v>
      </c>
      <c r="O19" s="47">
        <v>73.753700379253402</v>
      </c>
      <c r="P19" s="47">
        <v>72.656739908134199</v>
      </c>
      <c r="Q19" s="47">
        <v>71.670332936522399</v>
      </c>
      <c r="R19" s="47">
        <v>71.044583910421196</v>
      </c>
      <c r="S19" s="47">
        <v>70.571027773214198</v>
      </c>
      <c r="T19" s="47">
        <v>70.340701486455103</v>
      </c>
      <c r="U19" s="47">
        <v>70.2078728695423</v>
      </c>
      <c r="V19" s="47">
        <v>70.054054681522302</v>
      </c>
      <c r="W19" s="47">
        <v>69.921047262914001</v>
      </c>
      <c r="X19" s="47">
        <v>69.690410932042894</v>
      </c>
      <c r="Y19" s="47">
        <v>69.6731100926404</v>
      </c>
      <c r="Z19" s="47">
        <v>69.719972749739497</v>
      </c>
      <c r="AA19" s="47">
        <v>69.702655973656803</v>
      </c>
      <c r="AB19" s="47">
        <v>69.587231582814098</v>
      </c>
      <c r="AC19" s="47">
        <v>69.471807191971294</v>
      </c>
      <c r="AD19" s="47">
        <v>72.311016538132705</v>
      </c>
      <c r="AE19" s="47">
        <v>72.238754069421603</v>
      </c>
      <c r="AF19" s="47">
        <v>72.003449183845404</v>
      </c>
      <c r="AG19" s="47">
        <v>71.768144298269107</v>
      </c>
    </row>
    <row r="20" spans="2:33" ht="20.100000000000001" customHeight="1">
      <c r="B20" s="67" t="s">
        <v>358</v>
      </c>
      <c r="F20" s="30" t="s">
        <v>154</v>
      </c>
      <c r="G20" s="32" t="s">
        <v>58</v>
      </c>
      <c r="H20" s="47">
        <v>86.722109375000002</v>
      </c>
      <c r="I20" s="47">
        <v>84.328174603174602</v>
      </c>
      <c r="J20" s="47">
        <v>83.1270530678147</v>
      </c>
      <c r="K20" s="47">
        <v>82.374492105902604</v>
      </c>
      <c r="L20" s="47">
        <v>81.419139337949503</v>
      </c>
      <c r="M20" s="47">
        <v>79.837315202559395</v>
      </c>
      <c r="N20" s="47">
        <v>77.847535537287698</v>
      </c>
      <c r="O20" s="47">
        <v>75.982889625366099</v>
      </c>
      <c r="P20" s="47">
        <v>74.854662035434103</v>
      </c>
      <c r="Q20" s="47">
        <v>74.0395673804327</v>
      </c>
      <c r="R20" s="47">
        <v>73.730790841601106</v>
      </c>
      <c r="S20" s="47">
        <v>73.556066300646094</v>
      </c>
      <c r="T20" s="47">
        <v>73.556066300646094</v>
      </c>
      <c r="U20" s="47">
        <v>73.347202231540194</v>
      </c>
      <c r="V20" s="47">
        <v>73.103829874853503</v>
      </c>
      <c r="W20" s="47">
        <v>72.860457518166896</v>
      </c>
      <c r="X20" s="47">
        <v>72.860457518166896</v>
      </c>
      <c r="Y20" s="47">
        <v>72.822043394938504</v>
      </c>
      <c r="Z20" s="47">
        <v>72.783629271710097</v>
      </c>
      <c r="AA20" s="47">
        <v>72.745215148481805</v>
      </c>
      <c r="AB20" s="47">
        <v>72.745215148481805</v>
      </c>
      <c r="AC20" s="47">
        <v>72.959500671681198</v>
      </c>
      <c r="AD20" s="47">
        <v>73.173786194880506</v>
      </c>
      <c r="AE20" s="47">
        <v>73.3880717180799</v>
      </c>
      <c r="AF20" s="47">
        <v>73.3880717180799</v>
      </c>
      <c r="AG20" s="47">
        <v>73.3880717180799</v>
      </c>
    </row>
    <row r="21" spans="2:33" ht="20.100000000000001" customHeight="1">
      <c r="B21" s="67" t="s">
        <v>358</v>
      </c>
      <c r="F21" s="30" t="s">
        <v>188</v>
      </c>
      <c r="G21" s="32" t="s">
        <v>58</v>
      </c>
      <c r="H21" s="47">
        <v>86.722109375000002</v>
      </c>
      <c r="I21" s="47">
        <v>88.726724768665704</v>
      </c>
      <c r="J21" s="47">
        <v>88.978890931262299</v>
      </c>
      <c r="K21" s="47">
        <v>87.356352560659602</v>
      </c>
      <c r="L21" s="47">
        <v>85.464283361914696</v>
      </c>
      <c r="M21" s="47">
        <v>83.492030400021406</v>
      </c>
      <c r="N21" s="47">
        <v>81.510774554251796</v>
      </c>
      <c r="O21" s="47">
        <v>79.7865031044294</v>
      </c>
      <c r="P21" s="47">
        <v>78.499794641174503</v>
      </c>
      <c r="Q21" s="47">
        <v>77.285183750611495</v>
      </c>
      <c r="R21" s="47">
        <v>73.935604289966506</v>
      </c>
      <c r="S21" s="47">
        <v>73.088712630035801</v>
      </c>
      <c r="T21" s="47">
        <v>72.589167175490402</v>
      </c>
      <c r="U21" s="47">
        <v>72.324898627990706</v>
      </c>
      <c r="V21" s="47">
        <v>72.060630080490995</v>
      </c>
      <c r="W21" s="47">
        <v>71.796361532991298</v>
      </c>
      <c r="X21" s="47">
        <v>71.679694866324596</v>
      </c>
      <c r="Y21" s="47">
        <v>71.5303990718931</v>
      </c>
      <c r="Z21" s="47">
        <v>71.497769944128294</v>
      </c>
      <c r="AA21" s="47">
        <v>71.348474149696798</v>
      </c>
      <c r="AB21" s="47">
        <v>71.231807483030096</v>
      </c>
      <c r="AC21" s="47">
        <v>71.115140816363393</v>
      </c>
      <c r="AD21" s="47">
        <v>71.115140816363393</v>
      </c>
      <c r="AE21" s="47">
        <v>71.115140816363393</v>
      </c>
      <c r="AF21" s="47">
        <v>71.115140816363393</v>
      </c>
      <c r="AG21" s="47">
        <v>71.115140816363393</v>
      </c>
    </row>
    <row r="22" spans="2:33" ht="20.100000000000001" customHeight="1">
      <c r="B22" s="17" t="s">
        <v>358</v>
      </c>
      <c r="F22" s="30" t="s">
        <v>183</v>
      </c>
      <c r="G22" s="32" t="s">
        <v>9</v>
      </c>
      <c r="H22" s="47">
        <v>62.63</v>
      </c>
      <c r="I22" s="47">
        <v>82.21</v>
      </c>
      <c r="J22" s="47">
        <v>96.971666666666707</v>
      </c>
      <c r="K22" s="47">
        <v>97.010571051031704</v>
      </c>
      <c r="L22" s="47">
        <v>99.0620868716736</v>
      </c>
      <c r="M22" s="47">
        <v>101.15698680104499</v>
      </c>
      <c r="N22" s="47">
        <v>102.885467531806</v>
      </c>
      <c r="O22" s="47">
        <v>104.436478815531</v>
      </c>
      <c r="P22" s="47">
        <v>106.01087178823499</v>
      </c>
      <c r="Q22" s="47">
        <v>107.60899893180201</v>
      </c>
      <c r="R22" s="47">
        <v>108.362583717535</v>
      </c>
      <c r="S22" s="47">
        <v>108.68799666480101</v>
      </c>
      <c r="T22" s="47">
        <v>109.014386827473</v>
      </c>
      <c r="U22" s="47">
        <v>109.34175714013</v>
      </c>
      <c r="V22" s="47">
        <v>110.54922600374</v>
      </c>
      <c r="W22" s="47">
        <v>112.21576940440001</v>
      </c>
      <c r="X22" s="47">
        <v>113.90743615514199</v>
      </c>
      <c r="Y22" s="47">
        <v>115.62460499361001</v>
      </c>
      <c r="Z22" s="47">
        <v>116.66719159876099</v>
      </c>
      <c r="AA22" s="47">
        <v>117.36859568798999</v>
      </c>
      <c r="AB22" s="47">
        <v>118.074216624215</v>
      </c>
      <c r="AC22" s="47">
        <v>118.784079759154</v>
      </c>
      <c r="AD22" s="47">
        <v>119.49821059693799</v>
      </c>
      <c r="AE22" s="47">
        <v>120.216634795033</v>
      </c>
      <c r="AF22" s="47">
        <v>120.939378165154</v>
      </c>
      <c r="AG22" s="47">
        <v>121.66646667419801</v>
      </c>
    </row>
    <row r="23" spans="2:33" ht="9.9499999999999993" customHeight="1">
      <c r="B23" t="s">
        <v>358</v>
      </c>
      <c r="G23" s="37" t="s">
        <v>0</v>
      </c>
      <c r="K23" s="65"/>
      <c r="L23" s="29"/>
      <c r="M23" s="29"/>
      <c r="N23" s="37" t="s">
        <v>0</v>
      </c>
      <c r="P23" s="37"/>
      <c r="Q23" s="37"/>
      <c r="R23" s="37"/>
    </row>
    <row r="24" spans="2:33" ht="9.9499999999999993" customHeight="1">
      <c r="B24" t="s">
        <v>358</v>
      </c>
      <c r="G24" s="37" t="s">
        <v>0</v>
      </c>
      <c r="K24" s="65"/>
      <c r="L24" s="29"/>
      <c r="M24" s="29"/>
      <c r="N24" s="37" t="s">
        <v>0</v>
      </c>
      <c r="P24" s="37"/>
      <c r="Q24" s="37"/>
    </row>
    <row r="25" spans="2:33" ht="14.25" customHeight="1">
      <c r="B25" t="s">
        <v>358</v>
      </c>
      <c r="F25" s="16" t="s">
        <v>119</v>
      </c>
      <c r="L25" s="37" t="s">
        <v>0</v>
      </c>
      <c r="AG25" s="29" t="s">
        <v>358</v>
      </c>
    </row>
    <row r="26" spans="2:33" ht="15" customHeight="1">
      <c r="B26" t="s">
        <v>358</v>
      </c>
      <c r="E26" s="39" t="s">
        <v>279</v>
      </c>
      <c r="F26" s="16" t="s">
        <v>281</v>
      </c>
    </row>
    <row r="27" spans="2:33" ht="15" customHeight="1">
      <c r="B27" t="s">
        <v>358</v>
      </c>
      <c r="E27" s="39" t="s">
        <v>280</v>
      </c>
      <c r="F27" s="16" t="s">
        <v>282</v>
      </c>
      <c r="L27" s="37" t="s">
        <v>0</v>
      </c>
    </row>
    <row r="28" spans="2:33" ht="15" customHeight="1">
      <c r="B28" t="s">
        <v>358</v>
      </c>
      <c r="E28" s="39" t="s">
        <v>269</v>
      </c>
      <c r="F28" s="16" t="s">
        <v>283</v>
      </c>
      <c r="L28" s="37" t="s">
        <v>0</v>
      </c>
    </row>
    <row r="29" spans="2:33" ht="15" customHeight="1">
      <c r="B29" t="s">
        <v>358</v>
      </c>
      <c r="E29" s="39" t="s">
        <v>254</v>
      </c>
      <c r="F29" s="16" t="s">
        <v>284</v>
      </c>
    </row>
    <row r="30" spans="2:33" ht="15" customHeight="1">
      <c r="B30" t="s">
        <v>358</v>
      </c>
      <c r="E30" s="39" t="s">
        <v>255</v>
      </c>
      <c r="F30" s="16" t="s">
        <v>285</v>
      </c>
      <c r="L30" s="37" t="s">
        <v>0</v>
      </c>
    </row>
    <row r="31" spans="2:33" ht="15" customHeight="1">
      <c r="B31" t="s">
        <v>358</v>
      </c>
      <c r="E31" s="39" t="s">
        <v>256</v>
      </c>
      <c r="F31" s="24" t="s">
        <v>286</v>
      </c>
    </row>
    <row r="32" spans="2:33" ht="15" customHeight="1">
      <c r="B32" t="s">
        <v>358</v>
      </c>
      <c r="E32" s="39" t="s">
        <v>260</v>
      </c>
      <c r="F32" s="42" t="s">
        <v>312</v>
      </c>
      <c r="L32" s="37" t="s">
        <v>0</v>
      </c>
    </row>
    <row r="33" spans="2:33" ht="15" customHeight="1">
      <c r="B33" t="s">
        <v>358</v>
      </c>
      <c r="E33" s="39" t="s">
        <v>262</v>
      </c>
      <c r="F33" s="42" t="s">
        <v>298</v>
      </c>
    </row>
    <row r="34" spans="2:33" ht="18" customHeight="1">
      <c r="B34" t="s">
        <v>358</v>
      </c>
      <c r="F34" s="42" t="s">
        <v>318</v>
      </c>
    </row>
    <row r="35" spans="2:33" ht="18" customHeight="1">
      <c r="AG35" s="29" t="s">
        <v>358</v>
      </c>
    </row>
  </sheetData>
  <mergeCells count="6">
    <mergeCell ref="AB7:AE7"/>
    <mergeCell ref="G7:K7"/>
    <mergeCell ref="L7:O7"/>
    <mergeCell ref="P7:S7"/>
    <mergeCell ref="T7:W7"/>
    <mergeCell ref="X7:AA7"/>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1"/>
  <sheetViews>
    <sheetView zoomScale="80" zoomScaleNormal="80" workbookViewId="0">
      <pane xSplit="7" ySplit="8" topLeftCell="H9" activePane="bottomRight" state="frozen"/>
      <selection pane="topRight" activeCell="H1" sqref="H1"/>
      <selection pane="bottomLeft" activeCell="A9" sqref="A9"/>
      <selection pane="bottomRight" activeCell="H21" sqref="H21"/>
    </sheetView>
  </sheetViews>
  <sheetFormatPr defaultColWidth="10.625" defaultRowHeight="14.25"/>
  <cols>
    <col min="1" max="1" width="14.625" customWidth="1"/>
    <col min="4" max="4" width="11.625" customWidth="1"/>
    <col min="5" max="5" width="2.625" customWidth="1"/>
    <col min="6" max="6" width="28.125" customWidth="1"/>
    <col min="7" max="7" width="11.625" customWidth="1"/>
    <col min="8" max="31" width="12.625" customWidth="1"/>
  </cols>
  <sheetData>
    <row r="1" spans="1:31" ht="65.25" customHeight="1">
      <c r="A1" s="13" t="s">
        <v>118</v>
      </c>
      <c r="H1" s="134" t="str">
        <f>HYPERLINK("#'Contents'!A1", "Back to Table of Contents")</f>
        <v>Back to Table of Contents</v>
      </c>
      <c r="K1" s="52"/>
    </row>
    <row r="2" spans="1:31" ht="14.25" customHeight="1">
      <c r="A2" s="130" t="s">
        <v>357</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row>
    <row r="3" spans="1:31" ht="20.100000000000001" customHeight="1">
      <c r="A3" s="129">
        <f>YEAR(A2)</f>
        <v>2024</v>
      </c>
      <c r="B3" s="129" t="s">
        <v>358</v>
      </c>
      <c r="C3" s="132"/>
      <c r="D3" s="132"/>
      <c r="E3" s="132"/>
      <c r="F3" s="131"/>
      <c r="G3" s="132"/>
      <c r="H3" s="133">
        <f>$A$3 - 1</f>
        <v>2023</v>
      </c>
      <c r="I3" s="133">
        <f>IF(H4=12,H3+1,H3)</f>
        <v>2023</v>
      </c>
      <c r="J3" s="133">
        <f t="shared" ref="J3:AE3" si="0">IF(I4=12,I3+1,I3)</f>
        <v>2024</v>
      </c>
      <c r="K3" s="133">
        <f t="shared" si="0"/>
        <v>2024</v>
      </c>
      <c r="L3" s="133">
        <f t="shared" si="0"/>
        <v>2024</v>
      </c>
      <c r="M3" s="133">
        <f t="shared" si="0"/>
        <v>2024</v>
      </c>
      <c r="N3" s="133">
        <f t="shared" si="0"/>
        <v>2025</v>
      </c>
      <c r="O3" s="133">
        <f t="shared" si="0"/>
        <v>2025</v>
      </c>
      <c r="P3" s="133">
        <f t="shared" si="0"/>
        <v>2025</v>
      </c>
      <c r="Q3" s="133">
        <f t="shared" si="0"/>
        <v>2025</v>
      </c>
      <c r="R3" s="133">
        <f t="shared" si="0"/>
        <v>2026</v>
      </c>
      <c r="S3" s="133">
        <f t="shared" si="0"/>
        <v>2026</v>
      </c>
      <c r="T3" s="133">
        <f t="shared" si="0"/>
        <v>2026</v>
      </c>
      <c r="U3" s="133">
        <f t="shared" si="0"/>
        <v>2026</v>
      </c>
      <c r="V3" s="133">
        <f t="shared" si="0"/>
        <v>2027</v>
      </c>
      <c r="W3" s="133">
        <f t="shared" si="0"/>
        <v>2027</v>
      </c>
      <c r="X3" s="133">
        <f t="shared" si="0"/>
        <v>2027</v>
      </c>
      <c r="Y3" s="133">
        <f t="shared" si="0"/>
        <v>2027</v>
      </c>
      <c r="Z3" s="133">
        <f t="shared" si="0"/>
        <v>2028</v>
      </c>
      <c r="AA3" s="133">
        <f t="shared" si="0"/>
        <v>2028</v>
      </c>
      <c r="AB3" s="133">
        <f t="shared" si="0"/>
        <v>2028</v>
      </c>
      <c r="AC3" s="133">
        <f t="shared" si="0"/>
        <v>2028</v>
      </c>
      <c r="AD3" s="133">
        <f t="shared" si="0"/>
        <v>2029</v>
      </c>
      <c r="AE3" s="133">
        <f t="shared" si="0"/>
        <v>2029</v>
      </c>
    </row>
    <row r="4" spans="1:31" ht="20.100000000000001" customHeight="1">
      <c r="A4" s="129">
        <v>9</v>
      </c>
      <c r="B4" s="129" t="s">
        <v>358</v>
      </c>
      <c r="C4" s="132"/>
      <c r="D4" s="132"/>
      <c r="E4" s="132"/>
      <c r="F4" s="131"/>
      <c r="G4" s="138"/>
      <c r="H4" s="133">
        <f>A4</f>
        <v>9</v>
      </c>
      <c r="I4" s="133">
        <f>IF(H4=12,3,H4+3)</f>
        <v>12</v>
      </c>
      <c r="J4" s="133">
        <f t="shared" ref="J4:AE4" si="1">IF(I4=12,3,I4+3)</f>
        <v>3</v>
      </c>
      <c r="K4" s="133">
        <f t="shared" si="1"/>
        <v>6</v>
      </c>
      <c r="L4" s="133">
        <f t="shared" si="1"/>
        <v>9</v>
      </c>
      <c r="M4" s="133">
        <f t="shared" si="1"/>
        <v>12</v>
      </c>
      <c r="N4" s="133">
        <f t="shared" si="1"/>
        <v>3</v>
      </c>
      <c r="O4" s="133">
        <f t="shared" si="1"/>
        <v>6</v>
      </c>
      <c r="P4" s="133">
        <f t="shared" si="1"/>
        <v>9</v>
      </c>
      <c r="Q4" s="133">
        <f t="shared" si="1"/>
        <v>12</v>
      </c>
      <c r="R4" s="133">
        <f t="shared" si="1"/>
        <v>3</v>
      </c>
      <c r="S4" s="133">
        <f t="shared" si="1"/>
        <v>6</v>
      </c>
      <c r="T4" s="133">
        <f t="shared" si="1"/>
        <v>9</v>
      </c>
      <c r="U4" s="133">
        <f t="shared" si="1"/>
        <v>12</v>
      </c>
      <c r="V4" s="133">
        <f t="shared" si="1"/>
        <v>3</v>
      </c>
      <c r="W4" s="133">
        <f t="shared" si="1"/>
        <v>6</v>
      </c>
      <c r="X4" s="133">
        <f t="shared" si="1"/>
        <v>9</v>
      </c>
      <c r="Y4" s="133">
        <f t="shared" si="1"/>
        <v>12</v>
      </c>
      <c r="Z4" s="133">
        <f t="shared" si="1"/>
        <v>3</v>
      </c>
      <c r="AA4" s="133">
        <f t="shared" si="1"/>
        <v>6</v>
      </c>
      <c r="AB4" s="133">
        <f t="shared" si="1"/>
        <v>9</v>
      </c>
      <c r="AC4" s="133">
        <f t="shared" si="1"/>
        <v>12</v>
      </c>
      <c r="AD4" s="133">
        <f t="shared" si="1"/>
        <v>3</v>
      </c>
      <c r="AE4" s="133">
        <f t="shared" si="1"/>
        <v>6</v>
      </c>
    </row>
    <row r="5" spans="1:31" ht="20.100000000000001" customHeight="1">
      <c r="B5" t="s">
        <v>358</v>
      </c>
      <c r="F5" s="30"/>
      <c r="G5" s="54"/>
      <c r="H5" s="52"/>
      <c r="I5" s="52"/>
      <c r="J5" s="52"/>
      <c r="K5" s="52"/>
      <c r="L5" s="52"/>
      <c r="M5" s="52"/>
      <c r="N5" s="52"/>
      <c r="O5" s="52"/>
    </row>
    <row r="6" spans="1:31" ht="20.100000000000001" customHeight="1">
      <c r="B6" t="s">
        <v>358</v>
      </c>
      <c r="F6" s="12" t="s">
        <v>193</v>
      </c>
      <c r="G6" s="62"/>
      <c r="H6" s="62"/>
      <c r="I6" s="62"/>
      <c r="J6" s="62"/>
      <c r="K6" s="62"/>
      <c r="L6" s="62"/>
      <c r="M6" s="62"/>
      <c r="N6" s="62"/>
      <c r="O6" s="62"/>
    </row>
    <row r="7" spans="1:31" ht="20.100000000000001" customHeight="1">
      <c r="A7" s="29"/>
      <c r="B7" t="s">
        <v>358</v>
      </c>
      <c r="D7" s="29" t="s">
        <v>358</v>
      </c>
      <c r="G7" s="163"/>
      <c r="H7" s="163"/>
      <c r="I7" s="163"/>
      <c r="J7" s="163"/>
      <c r="K7" s="163"/>
      <c r="L7" s="163"/>
      <c r="M7" s="163"/>
      <c r="N7" s="163"/>
      <c r="O7" s="163"/>
      <c r="P7" s="64"/>
      <c r="Q7" s="64"/>
      <c r="R7" s="64"/>
      <c r="S7" s="64"/>
      <c r="T7" s="64"/>
      <c r="U7" s="64"/>
      <c r="V7" s="64"/>
      <c r="W7" s="64"/>
      <c r="X7" s="64"/>
      <c r="Y7" s="64"/>
      <c r="Z7" s="64"/>
      <c r="AA7" s="64"/>
      <c r="AB7" s="64"/>
      <c r="AC7" s="64"/>
      <c r="AD7" s="64"/>
      <c r="AE7" s="64"/>
    </row>
    <row r="8" spans="1:31" ht="20.100000000000001" customHeight="1">
      <c r="B8" t="s">
        <v>358</v>
      </c>
      <c r="D8" s="29" t="s">
        <v>358</v>
      </c>
      <c r="F8" s="43"/>
      <c r="G8" s="54" t="s">
        <v>1</v>
      </c>
      <c r="H8" s="140">
        <f t="shared" ref="H8:I8" si="2">DATE(H3,H4,1)</f>
        <v>45170</v>
      </c>
      <c r="I8" s="66">
        <f t="shared" si="2"/>
        <v>45261</v>
      </c>
      <c r="J8" s="66" t="str">
        <f>IF(J4=3,"Mar",IF(J4=6,"Jun",IF(J4=9,"Sep","Dec")))&amp;"-"&amp;RIGHT(J3,2)&amp;"  f"</f>
        <v>Mar-24  f</v>
      </c>
      <c r="K8" s="66" t="str">
        <f>IF(K4=3,"Mar",IF(K4=6,"Jun",IF(K4=9,"Sep","Dec")))&amp;"-"&amp;RIGHT(K3,2)&amp;"  f"</f>
        <v>Jun-24  f</v>
      </c>
      <c r="L8" s="66" t="str">
        <f>IF(L4=3,"Mar",IF(L4=6,"Jun",IF(L4=9,"Sep","Dec")))&amp;"-"&amp;RIGHT(L3,2)&amp;"  f"</f>
        <v>Sep-24  f</v>
      </c>
      <c r="M8" s="66" t="str">
        <f>IF(M4=3,"Mar",IF(M4=6,"Jun",IF(M4=9,"Sep","Dec")))&amp;"-"&amp;RIGHT(M3,2)&amp;"  f"</f>
        <v>Dec-24  f</v>
      </c>
      <c r="N8" s="66" t="str">
        <f t="shared" ref="N8:U8" si="3">IF(N4=3,"Mar",IF(N4=6,"Jun",IF(N4=9,"Sep","Dec")))&amp;"-"&amp;RIGHT(N3,2)&amp;"  f"</f>
        <v>Mar-25  f</v>
      </c>
      <c r="O8" s="66" t="str">
        <f t="shared" si="3"/>
        <v>Jun-25  f</v>
      </c>
      <c r="P8" s="66" t="str">
        <f t="shared" si="3"/>
        <v>Sep-25  f</v>
      </c>
      <c r="Q8" s="66" t="str">
        <f t="shared" si="3"/>
        <v>Dec-25  f</v>
      </c>
      <c r="R8" s="66" t="str">
        <f t="shared" si="3"/>
        <v>Mar-26  f</v>
      </c>
      <c r="S8" s="66" t="str">
        <f t="shared" si="3"/>
        <v>Jun-26  f</v>
      </c>
      <c r="T8" s="66" t="str">
        <f t="shared" si="3"/>
        <v>Sep-26  f</v>
      </c>
      <c r="U8" s="66" t="str">
        <f t="shared" si="3"/>
        <v>Dec-26  f</v>
      </c>
      <c r="V8" s="66" t="str">
        <f t="shared" ref="V8:AE8" si="4">IF(V4=3,"Mar",IF(V4=6,"Jun",IF(V4=9,"Sep","Dec")))&amp;"-"&amp;RIGHT(V3,2)&amp;"  z"</f>
        <v>Mar-27  z</v>
      </c>
      <c r="W8" s="66" t="str">
        <f t="shared" si="4"/>
        <v>Jun-27  z</v>
      </c>
      <c r="X8" s="66" t="str">
        <f t="shared" si="4"/>
        <v>Sep-27  z</v>
      </c>
      <c r="Y8" s="66" t="str">
        <f t="shared" si="4"/>
        <v>Dec-27  z</v>
      </c>
      <c r="Z8" s="66" t="str">
        <f t="shared" si="4"/>
        <v>Mar-28  z</v>
      </c>
      <c r="AA8" s="66" t="str">
        <f t="shared" si="4"/>
        <v>Jun-28  z</v>
      </c>
      <c r="AB8" s="66" t="str">
        <f t="shared" si="4"/>
        <v>Sep-28  z</v>
      </c>
      <c r="AC8" s="66" t="str">
        <f t="shared" si="4"/>
        <v>Dec-28  z</v>
      </c>
      <c r="AD8" s="66" t="str">
        <f t="shared" si="4"/>
        <v>Mar-29  z</v>
      </c>
      <c r="AE8" s="66" t="str">
        <f t="shared" si="4"/>
        <v>Jun-29  z</v>
      </c>
    </row>
    <row r="9" spans="1:31" ht="20.100000000000001" customHeight="1">
      <c r="B9" s="29" t="s">
        <v>358</v>
      </c>
      <c r="F9" s="30" t="s">
        <v>42</v>
      </c>
      <c r="G9" s="32" t="s">
        <v>35</v>
      </c>
      <c r="H9" s="47">
        <v>223.25113303000001</v>
      </c>
      <c r="I9" s="47">
        <v>230.16805686000001</v>
      </c>
      <c r="J9" s="47">
        <v>219.143099927468</v>
      </c>
      <c r="K9" s="47">
        <v>227.634590689661</v>
      </c>
      <c r="L9" s="47">
        <v>225.69092839427401</v>
      </c>
      <c r="M9" s="47">
        <v>232.94557735606901</v>
      </c>
      <c r="N9" s="47">
        <v>226.538882310145</v>
      </c>
      <c r="O9" s="47">
        <v>233.60307744776199</v>
      </c>
      <c r="P9" s="47">
        <v>235.715193983647</v>
      </c>
      <c r="Q9" s="47">
        <v>241.45266119299899</v>
      </c>
      <c r="R9" s="47">
        <v>232.059156018701</v>
      </c>
      <c r="S9" s="47">
        <v>237.33487035756599</v>
      </c>
      <c r="T9" s="47">
        <v>238.83704853492</v>
      </c>
      <c r="U9" s="47">
        <v>244.25489703904299</v>
      </c>
      <c r="V9" s="47">
        <v>239.23387523767499</v>
      </c>
      <c r="W9" s="47">
        <v>244.22164212032899</v>
      </c>
      <c r="X9" s="47">
        <v>245.869969492195</v>
      </c>
      <c r="Y9" s="47">
        <v>251.579958369683</v>
      </c>
      <c r="Z9" s="47">
        <v>240.04629386026701</v>
      </c>
      <c r="AA9" s="47">
        <v>245.17079848634799</v>
      </c>
      <c r="AB9" s="47">
        <v>245.995396776131</v>
      </c>
      <c r="AC9" s="47">
        <v>251.685290897893</v>
      </c>
      <c r="AD9" s="47">
        <v>240.080407435029</v>
      </c>
      <c r="AE9" s="47">
        <v>245.14176580620801</v>
      </c>
    </row>
    <row r="10" spans="1:31" ht="20.100000000000001" customHeight="1">
      <c r="B10" s="29" t="s">
        <v>358</v>
      </c>
      <c r="F10" s="30" t="s">
        <v>221</v>
      </c>
      <c r="G10" s="32" t="s">
        <v>36</v>
      </c>
      <c r="H10" s="47">
        <v>67.254284810000001</v>
      </c>
      <c r="I10" s="47">
        <v>61.370982210000001</v>
      </c>
      <c r="J10" s="47">
        <v>62.170196185159</v>
      </c>
      <c r="K10" s="47">
        <v>62.623042619534502</v>
      </c>
      <c r="L10" s="47">
        <v>62.096848051756197</v>
      </c>
      <c r="M10" s="47">
        <v>61.985264029610498</v>
      </c>
      <c r="N10" s="47">
        <v>61.440800836683401</v>
      </c>
      <c r="O10" s="47">
        <v>62.182910196496202</v>
      </c>
      <c r="P10" s="47">
        <v>64.947230119048498</v>
      </c>
      <c r="Q10" s="47">
        <v>65.872412385403095</v>
      </c>
      <c r="R10" s="47">
        <v>66.414341189941098</v>
      </c>
      <c r="S10" s="47">
        <v>67.6833629079415</v>
      </c>
      <c r="T10" s="47">
        <v>69.366588027106701</v>
      </c>
      <c r="U10" s="47">
        <v>69.849080659471397</v>
      </c>
      <c r="V10" s="47">
        <v>68.708986260429398</v>
      </c>
      <c r="W10" s="47">
        <v>68.708986260429398</v>
      </c>
      <c r="X10" s="47">
        <v>68.810084990630102</v>
      </c>
      <c r="Y10" s="47">
        <v>68.810084990630102</v>
      </c>
      <c r="Z10" s="47">
        <v>68.810084990630102</v>
      </c>
      <c r="AA10" s="47">
        <v>68.810084990630102</v>
      </c>
      <c r="AB10" s="47">
        <v>68.810084990630102</v>
      </c>
      <c r="AC10" s="47">
        <v>68.810084990630102</v>
      </c>
      <c r="AD10" s="47">
        <v>68.810084990630102</v>
      </c>
      <c r="AE10" s="47">
        <v>68.810084990630102</v>
      </c>
    </row>
    <row r="11" spans="1:31" ht="20.100000000000001" customHeight="1">
      <c r="B11" s="29" t="s">
        <v>358</v>
      </c>
      <c r="F11" s="30" t="s">
        <v>222</v>
      </c>
      <c r="G11" s="32" t="s">
        <v>4</v>
      </c>
      <c r="H11" s="47">
        <v>192.83289288183099</v>
      </c>
      <c r="I11" s="47">
        <v>205.26548032716599</v>
      </c>
      <c r="J11" s="47">
        <v>215.35038817265101</v>
      </c>
      <c r="K11" s="47">
        <v>231.159651987968</v>
      </c>
      <c r="L11" s="47">
        <v>237.52025238110599</v>
      </c>
      <c r="M11" s="47">
        <v>223.83457207311</v>
      </c>
      <c r="N11" s="47">
        <v>222.40608153997499</v>
      </c>
      <c r="O11" s="47">
        <v>221.894751235038</v>
      </c>
      <c r="P11" s="47">
        <v>221.245922861125</v>
      </c>
      <c r="Q11" s="47">
        <v>224.048961361426</v>
      </c>
      <c r="R11" s="47">
        <v>253.86292136936899</v>
      </c>
      <c r="S11" s="47">
        <v>255.30394294873599</v>
      </c>
      <c r="T11" s="47">
        <v>257.71602801023198</v>
      </c>
      <c r="U11" s="47">
        <v>257.91056655822399</v>
      </c>
      <c r="V11" s="47">
        <v>268.30676064358698</v>
      </c>
      <c r="W11" s="47">
        <v>268.18618660800598</v>
      </c>
      <c r="X11" s="47">
        <v>268.06911900627199</v>
      </c>
      <c r="Y11" s="47">
        <v>268.163279974273</v>
      </c>
      <c r="Z11" s="47">
        <v>283.85351106994801</v>
      </c>
      <c r="AA11" s="47">
        <v>283.64752149307702</v>
      </c>
      <c r="AB11" s="47">
        <v>283.60913909634399</v>
      </c>
      <c r="AC11" s="47">
        <v>283.70823312318998</v>
      </c>
      <c r="AD11" s="47">
        <v>283.833390686207</v>
      </c>
      <c r="AE11" s="47">
        <v>283.68845114096598</v>
      </c>
    </row>
    <row r="12" spans="1:31" ht="20.100000000000001" customHeight="1">
      <c r="B12" s="29" t="s">
        <v>358</v>
      </c>
      <c r="F12" s="30" t="s">
        <v>157</v>
      </c>
      <c r="G12" s="32" t="s">
        <v>4</v>
      </c>
      <c r="H12" s="47">
        <v>4061.5613699999999</v>
      </c>
      <c r="I12" s="47">
        <v>4189.8601600000002</v>
      </c>
      <c r="J12" s="47">
        <v>4456.8</v>
      </c>
      <c r="K12" s="47">
        <v>4456.8</v>
      </c>
      <c r="L12" s="47">
        <v>4140.8999999999996</v>
      </c>
      <c r="M12" s="47">
        <v>4140.8999999999996</v>
      </c>
      <c r="N12" s="47">
        <v>4176.8999999999996</v>
      </c>
      <c r="O12" s="47">
        <v>4176.8999999999996</v>
      </c>
      <c r="P12" s="47">
        <v>4176.8999999999996</v>
      </c>
      <c r="Q12" s="47">
        <v>4176.8999999999996</v>
      </c>
      <c r="R12" s="47">
        <v>4176.8999999999996</v>
      </c>
      <c r="S12" s="47">
        <v>4176.8999999999996</v>
      </c>
      <c r="T12" s="47">
        <v>4176.8999999999996</v>
      </c>
      <c r="U12" s="47">
        <v>4176.8999999999996</v>
      </c>
      <c r="V12" s="47">
        <v>4176.8999999999996</v>
      </c>
      <c r="W12" s="47">
        <v>4176.8999999999996</v>
      </c>
      <c r="X12" s="47">
        <v>4176.8999999999996</v>
      </c>
      <c r="Y12" s="47">
        <v>4176.8999999999996</v>
      </c>
      <c r="Z12" s="47">
        <v>4176.8999999999996</v>
      </c>
      <c r="AA12" s="47">
        <v>4176.8999999999996</v>
      </c>
      <c r="AB12" s="47">
        <v>4176.8999999999996</v>
      </c>
      <c r="AC12" s="47">
        <v>4176.8999999999996</v>
      </c>
      <c r="AD12" s="47">
        <v>4176.8999999999996</v>
      </c>
      <c r="AE12" s="47">
        <v>4176.8999999999996</v>
      </c>
    </row>
    <row r="13" spans="1:31" ht="20.100000000000001" customHeight="1">
      <c r="B13" s="29" t="s">
        <v>358</v>
      </c>
      <c r="F13" s="30" t="s">
        <v>158</v>
      </c>
      <c r="G13" s="32" t="s">
        <v>4</v>
      </c>
      <c r="H13" s="47">
        <v>339.27205889999999</v>
      </c>
      <c r="I13" s="47">
        <v>380.82830799999999</v>
      </c>
      <c r="J13" s="47">
        <v>370.73750000000001</v>
      </c>
      <c r="K13" s="47">
        <v>370.73750000000001</v>
      </c>
      <c r="L13" s="47">
        <v>370.73750000000001</v>
      </c>
      <c r="M13" s="47">
        <v>370.73750000000001</v>
      </c>
      <c r="N13" s="47">
        <v>370.73750000000001</v>
      </c>
      <c r="O13" s="47">
        <v>370.73750000000001</v>
      </c>
      <c r="P13" s="47">
        <v>370.73750000000001</v>
      </c>
      <c r="Q13" s="47">
        <v>370.73750000000001</v>
      </c>
      <c r="R13" s="47">
        <v>370.73750000000001</v>
      </c>
      <c r="S13" s="47">
        <v>370.73750000000001</v>
      </c>
      <c r="T13" s="47">
        <v>370.73750000000001</v>
      </c>
      <c r="U13" s="47">
        <v>370.73750000000001</v>
      </c>
      <c r="V13" s="47">
        <v>370.73750000000001</v>
      </c>
      <c r="W13" s="47">
        <v>370.73750000000001</v>
      </c>
      <c r="X13" s="47">
        <v>370.73750000000001</v>
      </c>
      <c r="Y13" s="47">
        <v>370.73750000000001</v>
      </c>
      <c r="Z13" s="47">
        <v>370.73750000000001</v>
      </c>
      <c r="AA13" s="47">
        <v>370.73750000000001</v>
      </c>
      <c r="AB13" s="47">
        <v>370.73750000000001</v>
      </c>
      <c r="AC13" s="47">
        <v>370.73750000000001</v>
      </c>
      <c r="AD13" s="47">
        <v>370.73750000000001</v>
      </c>
      <c r="AE13" s="47">
        <v>370.73750000000001</v>
      </c>
    </row>
    <row r="14" spans="1:31" ht="20.100000000000001" customHeight="1">
      <c r="B14" s="29" t="s">
        <v>358</v>
      </c>
      <c r="F14" s="30" t="s">
        <v>223</v>
      </c>
      <c r="G14" s="32" t="s">
        <v>4</v>
      </c>
      <c r="H14" s="47">
        <v>411.67220641491099</v>
      </c>
      <c r="I14" s="47">
        <v>336.895414072439</v>
      </c>
      <c r="J14" s="47">
        <v>320.46027744204503</v>
      </c>
      <c r="K14" s="47">
        <v>331.04739270181898</v>
      </c>
      <c r="L14" s="47">
        <v>324.82489270181901</v>
      </c>
      <c r="M14" s="47">
        <v>324.82489270181901</v>
      </c>
      <c r="N14" s="47">
        <v>341.23989270181897</v>
      </c>
      <c r="O14" s="47">
        <v>341.23989270181897</v>
      </c>
      <c r="P14" s="47">
        <v>341.23989270181897</v>
      </c>
      <c r="Q14" s="47">
        <v>341.23989270181897</v>
      </c>
      <c r="R14" s="47">
        <v>316.98489270181898</v>
      </c>
      <c r="S14" s="47">
        <v>316.98489270181898</v>
      </c>
      <c r="T14" s="47">
        <v>316.98489270181898</v>
      </c>
      <c r="U14" s="47">
        <v>316.98489270181898</v>
      </c>
      <c r="V14" s="47">
        <v>322.35614270181901</v>
      </c>
      <c r="W14" s="47">
        <v>322.35614270181901</v>
      </c>
      <c r="X14" s="47">
        <v>322.35614270181901</v>
      </c>
      <c r="Y14" s="47">
        <v>322.35614270181901</v>
      </c>
      <c r="Z14" s="47">
        <v>306.13364270181899</v>
      </c>
      <c r="AA14" s="47">
        <v>306.13364270181899</v>
      </c>
      <c r="AB14" s="47">
        <v>306.13364270181899</v>
      </c>
      <c r="AC14" s="47">
        <v>306.13364270181899</v>
      </c>
      <c r="AD14" s="47">
        <v>300.468642701818</v>
      </c>
      <c r="AE14" s="47">
        <v>300.468642701818</v>
      </c>
    </row>
    <row r="15" spans="1:31" ht="20.100000000000001" customHeight="1">
      <c r="B15" s="29" t="s">
        <v>358</v>
      </c>
      <c r="F15" s="30" t="s">
        <v>160</v>
      </c>
      <c r="G15" s="32" t="s">
        <v>4</v>
      </c>
      <c r="H15" s="47">
        <v>10134.029270000001</v>
      </c>
      <c r="I15" s="47">
        <v>11356.927369999999</v>
      </c>
      <c r="J15" s="47">
        <v>10872.96</v>
      </c>
      <c r="K15" s="47">
        <v>10872.96</v>
      </c>
      <c r="L15" s="47">
        <v>10872.96</v>
      </c>
      <c r="M15" s="47">
        <v>10872.96</v>
      </c>
      <c r="N15" s="47">
        <v>10872.96</v>
      </c>
      <c r="O15" s="47">
        <v>10872.96</v>
      </c>
      <c r="P15" s="47">
        <v>10872.96</v>
      </c>
      <c r="Q15" s="47">
        <v>10872.96</v>
      </c>
      <c r="R15" s="47">
        <v>10872.96</v>
      </c>
      <c r="S15" s="47">
        <v>10872.96</v>
      </c>
      <c r="T15" s="47">
        <v>12552.96</v>
      </c>
      <c r="U15" s="47">
        <v>12552.96</v>
      </c>
      <c r="V15" s="47">
        <v>12552.96</v>
      </c>
      <c r="W15" s="47">
        <v>12552.96</v>
      </c>
      <c r="X15" s="47">
        <v>12552.96</v>
      </c>
      <c r="Y15" s="47">
        <v>12552.96</v>
      </c>
      <c r="Z15" s="47">
        <v>12552.96</v>
      </c>
      <c r="AA15" s="47">
        <v>12552.96</v>
      </c>
      <c r="AB15" s="47">
        <v>12552.96</v>
      </c>
      <c r="AC15" s="47">
        <v>12552.96</v>
      </c>
      <c r="AD15" s="47">
        <v>12552.96</v>
      </c>
      <c r="AE15" s="47">
        <v>12552.96</v>
      </c>
    </row>
    <row r="16" spans="1:31" ht="20.100000000000001" customHeight="1">
      <c r="B16" s="29" t="s">
        <v>358</v>
      </c>
      <c r="F16" s="30" t="s">
        <v>224</v>
      </c>
      <c r="G16" s="32" t="s">
        <v>4</v>
      </c>
      <c r="H16" s="47">
        <v>42.819499999999998</v>
      </c>
      <c r="I16" s="47">
        <v>42.222000000000001</v>
      </c>
      <c r="J16" s="47">
        <v>38.091666666666697</v>
      </c>
      <c r="K16" s="47">
        <v>36.113888888888901</v>
      </c>
      <c r="L16" s="47">
        <v>26.452592592592602</v>
      </c>
      <c r="M16" s="47">
        <v>26.827592592592602</v>
      </c>
      <c r="N16" s="47">
        <v>26.827592592592602</v>
      </c>
      <c r="O16" s="47">
        <v>26.827592592592602</v>
      </c>
      <c r="P16" s="47">
        <v>27.577592592592602</v>
      </c>
      <c r="Q16" s="47">
        <v>27.577592592592602</v>
      </c>
      <c r="R16" s="47">
        <v>28.4775925925926</v>
      </c>
      <c r="S16" s="47">
        <v>28.4775925925926</v>
      </c>
      <c r="T16" s="47">
        <v>30.808842592592601</v>
      </c>
      <c r="U16" s="47">
        <v>30.808842592592601</v>
      </c>
      <c r="V16" s="47">
        <v>40.408842592592599</v>
      </c>
      <c r="W16" s="47">
        <v>41.740092592592603</v>
      </c>
      <c r="X16" s="47">
        <v>41.740092592592603</v>
      </c>
      <c r="Y16" s="47">
        <v>44.190092592592599</v>
      </c>
      <c r="Z16" s="47">
        <v>46.8525925925926</v>
      </c>
      <c r="AA16" s="47">
        <v>48.7275925925926</v>
      </c>
      <c r="AB16" s="47">
        <v>51.2275925925926</v>
      </c>
      <c r="AC16" s="47">
        <v>53.627592592592599</v>
      </c>
      <c r="AD16" s="47">
        <v>53.627592592592599</v>
      </c>
      <c r="AE16" s="47">
        <v>55.502592592592599</v>
      </c>
    </row>
    <row r="17" spans="2:31" ht="20.100000000000001" customHeight="1">
      <c r="B17" s="30" t="s">
        <v>358</v>
      </c>
      <c r="F17" s="30" t="s">
        <v>43</v>
      </c>
      <c r="G17" s="32" t="s">
        <v>35</v>
      </c>
      <c r="H17" s="47">
        <v>35.850692979999998</v>
      </c>
      <c r="I17" s="47">
        <v>38.931765929999997</v>
      </c>
      <c r="J17" s="47">
        <v>43.143608124047198</v>
      </c>
      <c r="K17" s="47">
        <v>43.236297088069897</v>
      </c>
      <c r="L17" s="47">
        <v>43.193598571750101</v>
      </c>
      <c r="M17" s="47">
        <v>43.393081573215497</v>
      </c>
      <c r="N17" s="47">
        <v>43.468086682445502</v>
      </c>
      <c r="O17" s="47">
        <v>43.635967144786903</v>
      </c>
      <c r="P17" s="47">
        <v>44.108193546889702</v>
      </c>
      <c r="Q17" s="47">
        <v>44.3015746906188</v>
      </c>
      <c r="R17" s="47">
        <v>44.255054343881902</v>
      </c>
      <c r="S17" s="47">
        <v>44.557745817364399</v>
      </c>
      <c r="T17" s="47">
        <v>45.953608548200798</v>
      </c>
      <c r="U17" s="47">
        <v>46.388757372230103</v>
      </c>
      <c r="V17" s="47">
        <v>45.745173261990303</v>
      </c>
      <c r="W17" s="47">
        <v>45.516977453367502</v>
      </c>
      <c r="X17" s="47">
        <v>44.488006371371803</v>
      </c>
      <c r="Y17" s="47">
        <v>44.4959741631273</v>
      </c>
      <c r="Z17" s="47">
        <v>44.181418160000199</v>
      </c>
      <c r="AA17" s="47">
        <v>44.078368260877099</v>
      </c>
      <c r="AB17" s="47">
        <v>43.871974153730299</v>
      </c>
      <c r="AC17" s="47">
        <v>43.872854274625801</v>
      </c>
      <c r="AD17" s="47">
        <v>43.873571193194799</v>
      </c>
      <c r="AE17" s="47">
        <v>43.872752549817598</v>
      </c>
    </row>
    <row r="18" spans="2:31" ht="20.100000000000001" customHeight="1">
      <c r="B18" s="29" t="s">
        <v>358</v>
      </c>
      <c r="F18" s="30" t="s">
        <v>71</v>
      </c>
      <c r="G18" s="32" t="s">
        <v>35</v>
      </c>
      <c r="H18" s="47">
        <v>51.244389859999998</v>
      </c>
      <c r="I18" s="47">
        <v>55.585141909999997</v>
      </c>
      <c r="J18" s="47">
        <v>50.680365947191603</v>
      </c>
      <c r="K18" s="47">
        <v>50.708206448449801</v>
      </c>
      <c r="L18" s="47">
        <v>50.621185046868398</v>
      </c>
      <c r="M18" s="47">
        <v>50.434801849303199</v>
      </c>
      <c r="N18" s="47">
        <v>50.8462432240254</v>
      </c>
      <c r="O18" s="47">
        <v>51.065841559556603</v>
      </c>
      <c r="P18" s="47">
        <v>50.581645038093299</v>
      </c>
      <c r="Q18" s="47">
        <v>50.674256761422903</v>
      </c>
      <c r="R18" s="47">
        <v>51.746590248645603</v>
      </c>
      <c r="S18" s="47">
        <v>51.397240141159998</v>
      </c>
      <c r="T18" s="47">
        <v>50.972434776798998</v>
      </c>
      <c r="U18" s="47">
        <v>51.573218428124598</v>
      </c>
      <c r="V18" s="47">
        <v>51.724106300991203</v>
      </c>
      <c r="W18" s="47">
        <v>51.438990270155799</v>
      </c>
      <c r="X18" s="47">
        <v>51.064643053001099</v>
      </c>
      <c r="Y18" s="47">
        <v>51.064851327031803</v>
      </c>
      <c r="Z18" s="47">
        <v>51.376857139361398</v>
      </c>
      <c r="AA18" s="47">
        <v>51.313346117992701</v>
      </c>
      <c r="AB18" s="47">
        <v>51.687801788817701</v>
      </c>
      <c r="AC18" s="47">
        <v>51.687260783283001</v>
      </c>
      <c r="AD18" s="47">
        <v>51.687008187294197</v>
      </c>
      <c r="AE18" s="47">
        <v>51.687115168226498</v>
      </c>
    </row>
    <row r="19" spans="2:31" ht="20.100000000000001" customHeight="1">
      <c r="B19" s="29" t="s">
        <v>358</v>
      </c>
      <c r="F19" s="30" t="s">
        <v>91</v>
      </c>
      <c r="G19" s="32" t="s">
        <v>35</v>
      </c>
      <c r="H19" s="47">
        <v>19.73318291</v>
      </c>
      <c r="I19" s="47">
        <v>20.351590195</v>
      </c>
      <c r="J19" s="47">
        <v>19.817</v>
      </c>
      <c r="K19" s="47">
        <v>19.478999999999999</v>
      </c>
      <c r="L19" s="47">
        <v>20.155000000000001</v>
      </c>
      <c r="M19" s="47">
        <v>19.817</v>
      </c>
      <c r="N19" s="47">
        <v>19.339500000000001</v>
      </c>
      <c r="O19" s="47">
        <v>19.0015</v>
      </c>
      <c r="P19" s="47">
        <v>19.677499999999998</v>
      </c>
      <c r="Q19" s="47">
        <v>19.339500000000001</v>
      </c>
      <c r="R19" s="47">
        <v>19.452000000000002</v>
      </c>
      <c r="S19" s="47">
        <v>19.349</v>
      </c>
      <c r="T19" s="47">
        <v>20.295000000000002</v>
      </c>
      <c r="U19" s="47">
        <v>20.187000000000001</v>
      </c>
      <c r="V19" s="47">
        <v>20.814</v>
      </c>
      <c r="W19" s="47">
        <v>20.451000000000001</v>
      </c>
      <c r="X19" s="47">
        <v>19.594999999999999</v>
      </c>
      <c r="Y19" s="47">
        <v>19.948499999999999</v>
      </c>
      <c r="Z19" s="47">
        <v>20.116499999999998</v>
      </c>
      <c r="AA19" s="47">
        <v>19.753499999999999</v>
      </c>
      <c r="AB19" s="47">
        <v>20.479500000000002</v>
      </c>
      <c r="AC19" s="47">
        <v>20.116499999999998</v>
      </c>
      <c r="AD19" s="47">
        <v>19.566500000000001</v>
      </c>
      <c r="AE19" s="47">
        <v>19.203499999999998</v>
      </c>
    </row>
    <row r="20" spans="2:31" ht="20.100000000000001" customHeight="1">
      <c r="B20" s="29" t="s">
        <v>358</v>
      </c>
      <c r="F20" s="30" t="s">
        <v>73</v>
      </c>
      <c r="G20" s="32" t="s">
        <v>194</v>
      </c>
      <c r="H20" s="47">
        <v>3835.6827893599998</v>
      </c>
      <c r="I20" s="47">
        <v>3754.35582471</v>
      </c>
      <c r="J20" s="47">
        <v>4184.3920649087704</v>
      </c>
      <c r="K20" s="47">
        <v>4115.7623055886497</v>
      </c>
      <c r="L20" s="47">
        <v>4047.2869918576498</v>
      </c>
      <c r="M20" s="47">
        <v>4151.2711487585402</v>
      </c>
      <c r="N20" s="47">
        <v>3754.02477543444</v>
      </c>
      <c r="O20" s="47">
        <v>3728.7638591345299</v>
      </c>
      <c r="P20" s="47">
        <v>3731.3049979059101</v>
      </c>
      <c r="Q20" s="47">
        <v>3747.7632977391199</v>
      </c>
      <c r="R20" s="47">
        <v>3618.2544006724202</v>
      </c>
      <c r="S20" s="47">
        <v>3615.2715591188398</v>
      </c>
      <c r="T20" s="47">
        <v>3617.7678258555002</v>
      </c>
      <c r="U20" s="47">
        <v>3621.1596035831299</v>
      </c>
      <c r="V20" s="47">
        <v>3249.1015051439999</v>
      </c>
      <c r="W20" s="47">
        <v>3246.3856518256198</v>
      </c>
      <c r="X20" s="47">
        <v>3248.0450208103898</v>
      </c>
      <c r="Y20" s="47">
        <v>3249.59493791566</v>
      </c>
      <c r="Z20" s="47">
        <v>2823.8073458794802</v>
      </c>
      <c r="AA20" s="47">
        <v>3334.4030639142202</v>
      </c>
      <c r="AB20" s="47">
        <v>3335.5388445775998</v>
      </c>
      <c r="AC20" s="47">
        <v>3166.37926737608</v>
      </c>
      <c r="AD20" s="47">
        <v>2940.9845780689202</v>
      </c>
      <c r="AE20" s="47">
        <v>3014.6737255124299</v>
      </c>
    </row>
    <row r="21" spans="2:31" ht="19.5" customHeight="1">
      <c r="B21" s="29" t="s">
        <v>358</v>
      </c>
      <c r="F21" s="30" t="s">
        <v>162</v>
      </c>
      <c r="G21" s="32" t="s">
        <v>36</v>
      </c>
      <c r="H21" s="47">
        <v>1064.318</v>
      </c>
      <c r="I21" s="47">
        <v>1625.201</v>
      </c>
      <c r="J21" s="47">
        <v>1379.2610002341401</v>
      </c>
      <c r="K21" s="47">
        <v>1409.2610002341401</v>
      </c>
      <c r="L21" s="47">
        <v>1424.2610002341401</v>
      </c>
      <c r="M21" s="47">
        <v>1479.2610002341401</v>
      </c>
      <c r="N21" s="47">
        <v>1529.2610002341401</v>
      </c>
      <c r="O21" s="47">
        <v>1579.2610002341401</v>
      </c>
      <c r="P21" s="47">
        <v>1579.2610002341401</v>
      </c>
      <c r="Q21" s="47">
        <v>1629.2610002341401</v>
      </c>
      <c r="R21" s="47">
        <v>1629.2610002341401</v>
      </c>
      <c r="S21" s="47">
        <v>1679.2610002341401</v>
      </c>
      <c r="T21" s="47">
        <v>1679.2610002341401</v>
      </c>
      <c r="U21" s="47">
        <v>1679.2610002341401</v>
      </c>
      <c r="V21" s="47">
        <v>1679.2610002341401</v>
      </c>
      <c r="W21" s="47">
        <v>1679.2610002341401</v>
      </c>
      <c r="X21" s="47">
        <v>1679.2610002341401</v>
      </c>
      <c r="Y21" s="47">
        <v>1679.2610002341401</v>
      </c>
      <c r="Z21" s="47">
        <v>1729.2610002341401</v>
      </c>
      <c r="AA21" s="47">
        <v>1729.2610002341401</v>
      </c>
      <c r="AB21" s="47">
        <v>1779.2610002341401</v>
      </c>
      <c r="AC21" s="47">
        <v>1779.2610002341401</v>
      </c>
      <c r="AD21" s="47">
        <v>1829.2610002341401</v>
      </c>
      <c r="AE21" s="47">
        <v>1829.2610002341401</v>
      </c>
    </row>
    <row r="22" spans="2:31" ht="9.9499999999999993" customHeight="1">
      <c r="B22" t="s">
        <v>358</v>
      </c>
      <c r="G22" s="37" t="s">
        <v>0</v>
      </c>
      <c r="K22" s="65"/>
      <c r="L22" s="29"/>
      <c r="M22" s="29"/>
      <c r="N22" s="37" t="s">
        <v>0</v>
      </c>
      <c r="P22" s="37"/>
      <c r="Q22" s="37"/>
    </row>
    <row r="23" spans="2:31" ht="9.9499999999999993" customHeight="1">
      <c r="B23" t="s">
        <v>358</v>
      </c>
      <c r="G23" s="37" t="s">
        <v>0</v>
      </c>
      <c r="K23" s="65"/>
      <c r="L23" s="29"/>
      <c r="M23" s="29"/>
      <c r="N23" s="37" t="s">
        <v>0</v>
      </c>
      <c r="P23" s="37"/>
    </row>
    <row r="24" spans="2:31" ht="15.75" customHeight="1">
      <c r="B24" t="s">
        <v>358</v>
      </c>
      <c r="E24" s="39" t="s">
        <v>269</v>
      </c>
      <c r="F24" s="42" t="s">
        <v>313</v>
      </c>
      <c r="K24" s="65"/>
      <c r="L24" s="29"/>
      <c r="M24" s="29"/>
      <c r="P24" s="37"/>
    </row>
    <row r="25" spans="2:31" ht="15.75" customHeight="1">
      <c r="B25" t="s">
        <v>358</v>
      </c>
      <c r="E25" s="39" t="s">
        <v>254</v>
      </c>
      <c r="F25" s="42" t="s">
        <v>314</v>
      </c>
      <c r="K25" s="65"/>
      <c r="L25" s="29"/>
      <c r="M25" s="29"/>
      <c r="P25" s="37"/>
    </row>
    <row r="26" spans="2:31" ht="15" customHeight="1">
      <c r="B26" t="s">
        <v>358</v>
      </c>
      <c r="E26" s="39" t="s">
        <v>260</v>
      </c>
      <c r="F26" s="42" t="s">
        <v>312</v>
      </c>
      <c r="L26" s="37" t="s">
        <v>0</v>
      </c>
      <c r="AE26" s="29" t="s">
        <v>358</v>
      </c>
    </row>
    <row r="27" spans="2:31" ht="15" customHeight="1">
      <c r="B27" t="s">
        <v>358</v>
      </c>
      <c r="E27" s="39" t="s">
        <v>262</v>
      </c>
      <c r="F27" s="42" t="s">
        <v>298</v>
      </c>
    </row>
    <row r="28" spans="2:31" ht="14.25" customHeight="1">
      <c r="B28" t="s">
        <v>358</v>
      </c>
      <c r="F28" s="42" t="s">
        <v>319</v>
      </c>
    </row>
    <row r="29" spans="2:31" ht="14.25" customHeight="1">
      <c r="B29" t="s">
        <v>358</v>
      </c>
      <c r="F29" s="29"/>
      <c r="G29" s="37" t="s">
        <v>0</v>
      </c>
      <c r="L29" s="37" t="s">
        <v>0</v>
      </c>
    </row>
    <row r="30" spans="2:31">
      <c r="B30" t="s">
        <v>358</v>
      </c>
    </row>
    <row r="31" spans="2:31" ht="14.25" customHeight="1">
      <c r="G31" s="37" t="s">
        <v>0</v>
      </c>
      <c r="L31" s="37" t="s">
        <v>0</v>
      </c>
      <c r="AE31" s="29" t="s">
        <v>358</v>
      </c>
    </row>
  </sheetData>
  <mergeCells count="2">
    <mergeCell ref="G7:K7"/>
    <mergeCell ref="L7:O7"/>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5"/>
  <sheetViews>
    <sheetView zoomScale="80" zoomScaleNormal="80" workbookViewId="0">
      <pane xSplit="7" ySplit="8" topLeftCell="H9" activePane="bottomRight" state="frozen"/>
      <selection pane="topRight" activeCell="H1" sqref="H1"/>
      <selection pane="bottomLeft" activeCell="A9" sqref="A9"/>
      <selection pane="bottomRight" activeCell="H18" sqref="H18"/>
    </sheetView>
  </sheetViews>
  <sheetFormatPr defaultColWidth="10.625" defaultRowHeight="14.25"/>
  <cols>
    <col min="1" max="1" width="14.625" customWidth="1"/>
    <col min="4" max="4" width="11.625" customWidth="1"/>
    <col min="5" max="5" width="2.625" customWidth="1"/>
    <col min="6" max="6" width="28.125" customWidth="1"/>
    <col min="7" max="7" width="11.625" customWidth="1"/>
    <col min="8" max="31" width="12.625" customWidth="1"/>
  </cols>
  <sheetData>
    <row r="1" spans="1:31" ht="65.25" customHeight="1">
      <c r="A1" s="13" t="s">
        <v>118</v>
      </c>
      <c r="H1" s="134" t="str">
        <f>HYPERLINK("#'Contents'!A1", "Back to Table of Contents")</f>
        <v>Back to Table of Contents</v>
      </c>
      <c r="K1" s="52"/>
    </row>
    <row r="2" spans="1:31" ht="14.25" customHeight="1">
      <c r="A2" s="130" t="s">
        <v>357</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row>
    <row r="3" spans="1:31" ht="20.100000000000001" customHeight="1">
      <c r="A3" s="129">
        <f>YEAR(A2)</f>
        <v>2024</v>
      </c>
      <c r="B3" s="129" t="s">
        <v>358</v>
      </c>
      <c r="C3" s="132"/>
      <c r="D3" s="132"/>
      <c r="E3" s="132"/>
      <c r="F3" s="131"/>
      <c r="G3" s="132"/>
      <c r="H3" s="133">
        <f>$A$3 - 1</f>
        <v>2023</v>
      </c>
      <c r="I3" s="133">
        <f>IF(H4=12,H3+1,H3)</f>
        <v>2023</v>
      </c>
      <c r="J3" s="133">
        <f t="shared" ref="J3:O3" si="0">IF(I4=12,I3+1,I3)</f>
        <v>2024</v>
      </c>
      <c r="K3" s="133">
        <f t="shared" si="0"/>
        <v>2024</v>
      </c>
      <c r="L3" s="133">
        <f t="shared" si="0"/>
        <v>2024</v>
      </c>
      <c r="M3" s="133">
        <f t="shared" si="0"/>
        <v>2024</v>
      </c>
      <c r="N3" s="133">
        <f t="shared" si="0"/>
        <v>2025</v>
      </c>
      <c r="O3" s="133">
        <f t="shared" si="0"/>
        <v>2025</v>
      </c>
      <c r="P3" s="133">
        <f t="shared" ref="P3" si="1">IF(O4=12,O3+1,O3)</f>
        <v>2025</v>
      </c>
      <c r="Q3" s="133">
        <f t="shared" ref="Q3" si="2">IF(P4=12,P3+1,P3)</f>
        <v>2025</v>
      </c>
      <c r="R3" s="133">
        <f t="shared" ref="R3" si="3">IF(Q4=12,Q3+1,Q3)</f>
        <v>2026</v>
      </c>
      <c r="S3" s="133">
        <f t="shared" ref="S3" si="4">IF(R4=12,R3+1,R3)</f>
        <v>2026</v>
      </c>
      <c r="T3" s="133">
        <f t="shared" ref="T3" si="5">IF(S4=12,S3+1,S3)</f>
        <v>2026</v>
      </c>
      <c r="U3" s="133">
        <f t="shared" ref="U3" si="6">IF(T4=12,T3+1,T3)</f>
        <v>2026</v>
      </c>
      <c r="V3" s="133">
        <f t="shared" ref="V3" si="7">IF(U4=12,U3+1,U3)</f>
        <v>2027</v>
      </c>
      <c r="W3" s="133">
        <f t="shared" ref="W3" si="8">IF(V4=12,V3+1,V3)</f>
        <v>2027</v>
      </c>
      <c r="X3" s="133">
        <f t="shared" ref="X3" si="9">IF(W4=12,W3+1,W3)</f>
        <v>2027</v>
      </c>
      <c r="Y3" s="133">
        <f t="shared" ref="Y3" si="10">IF(X4=12,X3+1,X3)</f>
        <v>2027</v>
      </c>
      <c r="Z3" s="133">
        <f t="shared" ref="Z3" si="11">IF(Y4=12,Y3+1,Y3)</f>
        <v>2028</v>
      </c>
      <c r="AA3" s="133">
        <f t="shared" ref="AA3" si="12">IF(Z4=12,Z3+1,Z3)</f>
        <v>2028</v>
      </c>
      <c r="AB3" s="133">
        <f t="shared" ref="AB3" si="13">IF(AA4=12,AA3+1,AA3)</f>
        <v>2028</v>
      </c>
      <c r="AC3" s="133">
        <f t="shared" ref="AC3" si="14">IF(AB4=12,AB3+1,AB3)</f>
        <v>2028</v>
      </c>
      <c r="AD3" s="133">
        <f t="shared" ref="AD3" si="15">IF(AC4=12,AC3+1,AC3)</f>
        <v>2029</v>
      </c>
      <c r="AE3" s="133">
        <f t="shared" ref="AE3" si="16">IF(AD4=12,AD3+1,AD3)</f>
        <v>2029</v>
      </c>
    </row>
    <row r="4" spans="1:31" ht="20.100000000000001" customHeight="1">
      <c r="A4" s="129">
        <v>9</v>
      </c>
      <c r="B4" s="129" t="s">
        <v>358</v>
      </c>
      <c r="C4" s="132"/>
      <c r="D4" s="132"/>
      <c r="E4" s="132"/>
      <c r="F4" s="131"/>
      <c r="G4" s="138"/>
      <c r="H4" s="133">
        <f>A4</f>
        <v>9</v>
      </c>
      <c r="I4" s="133">
        <f>IF(H4=12,3,H4+3)</f>
        <v>12</v>
      </c>
      <c r="J4" s="133">
        <f t="shared" ref="J4:O4" si="17">IF(I4=12,3,I4+3)</f>
        <v>3</v>
      </c>
      <c r="K4" s="133">
        <f t="shared" si="17"/>
        <v>6</v>
      </c>
      <c r="L4" s="133">
        <f t="shared" si="17"/>
        <v>9</v>
      </c>
      <c r="M4" s="133">
        <f t="shared" si="17"/>
        <v>12</v>
      </c>
      <c r="N4" s="133">
        <f t="shared" si="17"/>
        <v>3</v>
      </c>
      <c r="O4" s="133">
        <f t="shared" si="17"/>
        <v>6</v>
      </c>
      <c r="P4" s="133">
        <f t="shared" ref="P4" si="18">IF(O4=12,3,O4+3)</f>
        <v>9</v>
      </c>
      <c r="Q4" s="133">
        <f t="shared" ref="Q4" si="19">IF(P4=12,3,P4+3)</f>
        <v>12</v>
      </c>
      <c r="R4" s="133">
        <f t="shared" ref="R4" si="20">IF(Q4=12,3,Q4+3)</f>
        <v>3</v>
      </c>
      <c r="S4" s="133">
        <f t="shared" ref="S4" si="21">IF(R4=12,3,R4+3)</f>
        <v>6</v>
      </c>
      <c r="T4" s="133">
        <f t="shared" ref="T4" si="22">IF(S4=12,3,S4+3)</f>
        <v>9</v>
      </c>
      <c r="U4" s="133">
        <f t="shared" ref="U4" si="23">IF(T4=12,3,T4+3)</f>
        <v>12</v>
      </c>
      <c r="V4" s="133">
        <f t="shared" ref="V4" si="24">IF(U4=12,3,U4+3)</f>
        <v>3</v>
      </c>
      <c r="W4" s="133">
        <f t="shared" ref="W4" si="25">IF(V4=12,3,V4+3)</f>
        <v>6</v>
      </c>
      <c r="X4" s="133">
        <f t="shared" ref="X4" si="26">IF(W4=12,3,W4+3)</f>
        <v>9</v>
      </c>
      <c r="Y4" s="133">
        <f t="shared" ref="Y4" si="27">IF(X4=12,3,X4+3)</f>
        <v>12</v>
      </c>
      <c r="Z4" s="133">
        <f t="shared" ref="Z4" si="28">IF(Y4=12,3,Y4+3)</f>
        <v>3</v>
      </c>
      <c r="AA4" s="133">
        <f t="shared" ref="AA4" si="29">IF(Z4=12,3,Z4+3)</f>
        <v>6</v>
      </c>
      <c r="AB4" s="133">
        <f t="shared" ref="AB4" si="30">IF(AA4=12,3,AA4+3)</f>
        <v>9</v>
      </c>
      <c r="AC4" s="133">
        <f t="shared" ref="AC4" si="31">IF(AB4=12,3,AB4+3)</f>
        <v>12</v>
      </c>
      <c r="AD4" s="133">
        <f t="shared" ref="AD4" si="32">IF(AC4=12,3,AC4+3)</f>
        <v>3</v>
      </c>
      <c r="AE4" s="133">
        <f t="shared" ref="AE4" si="33">IF(AD4=12,3,AD4+3)</f>
        <v>6</v>
      </c>
    </row>
    <row r="5" spans="1:31" ht="20.100000000000001" customHeight="1">
      <c r="B5" t="s">
        <v>358</v>
      </c>
      <c r="F5" s="30"/>
      <c r="G5" s="54"/>
      <c r="H5" s="52"/>
      <c r="I5" s="52"/>
      <c r="J5" s="52"/>
      <c r="K5" s="52"/>
      <c r="L5" s="52"/>
      <c r="M5" s="52"/>
      <c r="N5" s="52"/>
      <c r="O5" s="52"/>
    </row>
    <row r="6" spans="1:31" ht="20.100000000000001" customHeight="1">
      <c r="B6" t="s">
        <v>358</v>
      </c>
      <c r="F6" s="12" t="s">
        <v>169</v>
      </c>
      <c r="G6" s="62"/>
      <c r="H6" s="62"/>
      <c r="I6" s="62"/>
      <c r="J6" s="62"/>
      <c r="K6" s="62"/>
      <c r="L6" s="62"/>
      <c r="M6" s="62"/>
      <c r="N6" s="62"/>
      <c r="O6" s="62"/>
    </row>
    <row r="7" spans="1:31" ht="20.100000000000001" customHeight="1">
      <c r="A7" s="29"/>
      <c r="B7" t="s">
        <v>358</v>
      </c>
      <c r="D7" s="29" t="s">
        <v>358</v>
      </c>
      <c r="G7" s="163"/>
      <c r="H7" s="163"/>
      <c r="I7" s="163"/>
      <c r="J7" s="163"/>
      <c r="K7" s="163"/>
      <c r="L7" s="163"/>
      <c r="M7" s="163"/>
      <c r="N7" s="163"/>
      <c r="O7" s="163"/>
      <c r="P7" s="64"/>
      <c r="Q7" s="64"/>
      <c r="R7" s="64"/>
      <c r="S7" s="64"/>
      <c r="T7" s="64"/>
      <c r="U7" s="64"/>
      <c r="V7" s="64"/>
      <c r="W7" s="64"/>
      <c r="X7" s="64"/>
      <c r="Y7" s="64"/>
      <c r="Z7" s="64"/>
      <c r="AA7" s="64"/>
      <c r="AB7" s="64"/>
      <c r="AC7" s="64"/>
      <c r="AD7" s="64"/>
      <c r="AE7" s="64"/>
    </row>
    <row r="8" spans="1:31" ht="20.100000000000001" customHeight="1">
      <c r="B8" t="s">
        <v>358</v>
      </c>
      <c r="D8" s="29" t="s">
        <v>358</v>
      </c>
      <c r="F8" s="43" t="s">
        <v>152</v>
      </c>
      <c r="G8" s="54" t="s">
        <v>1</v>
      </c>
      <c r="H8" s="140">
        <f t="shared" ref="H8:I8" si="34">DATE(H3,H4,1)</f>
        <v>45170</v>
      </c>
      <c r="I8" s="66">
        <f t="shared" si="34"/>
        <v>45261</v>
      </c>
      <c r="J8" s="66" t="str">
        <f>IF(J4=3,"Mar",IF(J4=6,"Jun",IF(J4=9,"Sep","Dec")))&amp;"-"&amp;RIGHT(J3,2)&amp;"  f"</f>
        <v>Mar-24  f</v>
      </c>
      <c r="K8" s="66" t="str">
        <f>IF(K4=3,"Mar",IF(K4=6,"Jun",IF(K4=9,"Sep","Dec")))&amp;"-"&amp;RIGHT(K3,2)&amp;"  f"</f>
        <v>Jun-24  f</v>
      </c>
      <c r="L8" s="66" t="str">
        <f>IF(L4=3,"Mar",IF(L4=6,"Jun",IF(L4=9,"Sep","Dec")))&amp;"-"&amp;RIGHT(L3,2)&amp;"  f"</f>
        <v>Sep-24  f</v>
      </c>
      <c r="M8" s="66" t="str">
        <f>IF(M4=3,"Mar",IF(M4=6,"Jun",IF(M4=9,"Sep","Dec")))&amp;"-"&amp;RIGHT(M3,2)&amp;"  f"</f>
        <v>Dec-24  f</v>
      </c>
      <c r="N8" s="66" t="str">
        <f t="shared" ref="N8:U8" si="35">IF(N4=3,"Mar",IF(N4=6,"Jun",IF(N4=9,"Sep","Dec")))&amp;"-"&amp;RIGHT(N3,2)&amp;"  f"</f>
        <v>Mar-25  f</v>
      </c>
      <c r="O8" s="66" t="str">
        <f t="shared" si="35"/>
        <v>Jun-25  f</v>
      </c>
      <c r="P8" s="66" t="str">
        <f t="shared" si="35"/>
        <v>Sep-25  f</v>
      </c>
      <c r="Q8" s="66" t="str">
        <f t="shared" si="35"/>
        <v>Dec-25  f</v>
      </c>
      <c r="R8" s="66" t="str">
        <f t="shared" si="35"/>
        <v>Mar-26  f</v>
      </c>
      <c r="S8" s="66" t="str">
        <f t="shared" si="35"/>
        <v>Jun-26  f</v>
      </c>
      <c r="T8" s="66" t="str">
        <f t="shared" si="35"/>
        <v>Sep-26  f</v>
      </c>
      <c r="U8" s="66" t="str">
        <f t="shared" si="35"/>
        <v>Dec-26  f</v>
      </c>
      <c r="V8" s="66" t="str">
        <f t="shared" ref="V8:AE8" si="36">IF(V4=3,"Mar",IF(V4=6,"Jun",IF(V4=9,"Sep","Dec")))&amp;"-"&amp;RIGHT(V3,2)&amp;"  z"</f>
        <v>Mar-27  z</v>
      </c>
      <c r="W8" s="66" t="str">
        <f t="shared" si="36"/>
        <v>Jun-27  z</v>
      </c>
      <c r="X8" s="66" t="str">
        <f t="shared" si="36"/>
        <v>Sep-27  z</v>
      </c>
      <c r="Y8" s="66" t="str">
        <f t="shared" si="36"/>
        <v>Dec-27  z</v>
      </c>
      <c r="Z8" s="66" t="str">
        <f t="shared" si="36"/>
        <v>Mar-28  z</v>
      </c>
      <c r="AA8" s="66" t="str">
        <f t="shared" si="36"/>
        <v>Jun-28  z</v>
      </c>
      <c r="AB8" s="66" t="str">
        <f t="shared" si="36"/>
        <v>Sep-28  z</v>
      </c>
      <c r="AC8" s="66" t="str">
        <f t="shared" si="36"/>
        <v>Dec-28  z</v>
      </c>
      <c r="AD8" s="66" t="str">
        <f t="shared" si="36"/>
        <v>Mar-29  z</v>
      </c>
      <c r="AE8" s="66" t="str">
        <f t="shared" si="36"/>
        <v>Jun-29  z</v>
      </c>
    </row>
    <row r="9" spans="1:31" ht="20.100000000000001" customHeight="1">
      <c r="B9" s="29" t="s">
        <v>358</v>
      </c>
      <c r="F9" s="29" t="s">
        <v>42</v>
      </c>
      <c r="G9" s="32" t="s">
        <v>156</v>
      </c>
      <c r="H9" s="47">
        <v>32825.471745000003</v>
      </c>
      <c r="I9" s="47">
        <v>37788.246655000003</v>
      </c>
      <c r="J9" s="47">
        <v>34175.616181716003</v>
      </c>
      <c r="K9" s="47">
        <v>30902.943840318901</v>
      </c>
      <c r="L9" s="47">
        <v>28707.805599436499</v>
      </c>
      <c r="M9" s="47">
        <v>28266.689715082801</v>
      </c>
      <c r="N9" s="47">
        <v>26821.962897652498</v>
      </c>
      <c r="O9" s="47">
        <v>26707.182507162299</v>
      </c>
      <c r="P9" s="47">
        <v>26004.090937238299</v>
      </c>
      <c r="Q9" s="47">
        <v>25767.3929712387</v>
      </c>
      <c r="R9" s="47">
        <v>23670.7767667066</v>
      </c>
      <c r="S9" s="47">
        <v>23533.449431045501</v>
      </c>
      <c r="T9" s="47">
        <v>23001.556015038201</v>
      </c>
      <c r="U9" s="47">
        <v>23514.476131767598</v>
      </c>
      <c r="V9" s="47">
        <v>22856.550750716098</v>
      </c>
      <c r="W9" s="47">
        <v>23322.775545736</v>
      </c>
      <c r="X9" s="47">
        <v>23515.228937939399</v>
      </c>
      <c r="Y9" s="47">
        <v>24098.7788770601</v>
      </c>
      <c r="Z9" s="47">
        <v>23038.5797491044</v>
      </c>
      <c r="AA9" s="47">
        <v>23593.803631376701</v>
      </c>
      <c r="AB9" s="47">
        <v>23686.1426952693</v>
      </c>
      <c r="AC9" s="47">
        <v>24199.6963449996</v>
      </c>
      <c r="AD9" s="47">
        <v>23059.236854726299</v>
      </c>
      <c r="AE9" s="47">
        <v>23548.185108583399</v>
      </c>
    </row>
    <row r="10" spans="1:31" ht="20.100000000000001" customHeight="1">
      <c r="B10" s="29" t="s">
        <v>358</v>
      </c>
      <c r="F10" s="30" t="s">
        <v>76</v>
      </c>
      <c r="G10" s="32" t="s">
        <v>156</v>
      </c>
      <c r="H10" s="47">
        <v>8028.9816279999995</v>
      </c>
      <c r="I10" s="47">
        <v>7527.7791729999999</v>
      </c>
      <c r="J10" s="47">
        <v>6208.4511996212104</v>
      </c>
      <c r="K10" s="47">
        <v>6085.2089846082099</v>
      </c>
      <c r="L10" s="47">
        <v>5871.9418750000004</v>
      </c>
      <c r="M10" s="47">
        <v>5819.7660085688403</v>
      </c>
      <c r="N10" s="47">
        <v>5728.5666997500002</v>
      </c>
      <c r="O10" s="47">
        <v>5744.25843380282</v>
      </c>
      <c r="P10" s="47">
        <v>5945.2908686631899</v>
      </c>
      <c r="Q10" s="47">
        <v>5802.3218150684897</v>
      </c>
      <c r="R10" s="47">
        <v>5626.7273189518601</v>
      </c>
      <c r="S10" s="47">
        <v>5622.7334819114903</v>
      </c>
      <c r="T10" s="47">
        <v>5709.2808448320002</v>
      </c>
      <c r="U10" s="47">
        <v>5689.1075026983299</v>
      </c>
      <c r="V10" s="47">
        <v>5566.7945088315</v>
      </c>
      <c r="W10" s="47">
        <v>5537.3405696313303</v>
      </c>
      <c r="X10" s="47">
        <v>5515.9909610978302</v>
      </c>
      <c r="Y10" s="47">
        <v>5486.4936832310004</v>
      </c>
      <c r="Z10" s="47">
        <v>5513.9261516471497</v>
      </c>
      <c r="AA10" s="47">
        <v>5541.4957824053899</v>
      </c>
      <c r="AB10" s="47">
        <v>5569.2032613174197</v>
      </c>
      <c r="AC10" s="47">
        <v>5597.0492776239998</v>
      </c>
      <c r="AD10" s="47">
        <v>5653.0197704002403</v>
      </c>
      <c r="AE10" s="47">
        <v>5709.5499681042402</v>
      </c>
    </row>
    <row r="11" spans="1:31" ht="20.100000000000001" customHeight="1">
      <c r="B11" s="29" t="s">
        <v>358</v>
      </c>
      <c r="F11" s="30" t="s">
        <v>74</v>
      </c>
      <c r="G11" s="32" t="s">
        <v>156</v>
      </c>
      <c r="H11" s="47">
        <v>2742.3464880000001</v>
      </c>
      <c r="I11" s="47">
        <v>2876.5278450000001</v>
      </c>
      <c r="J11" s="47">
        <v>3149.4533962874898</v>
      </c>
      <c r="K11" s="47">
        <v>3431.2637654925702</v>
      </c>
      <c r="L11" s="47">
        <v>3526.6451592214798</v>
      </c>
      <c r="M11" s="47">
        <v>3288.1223246050399</v>
      </c>
      <c r="N11" s="47">
        <v>3259.5202909091199</v>
      </c>
      <c r="O11" s="47">
        <v>3277.9455746568201</v>
      </c>
      <c r="P11" s="47">
        <v>3287.5693142352602</v>
      </c>
      <c r="Q11" s="47">
        <v>3243.0738137196099</v>
      </c>
      <c r="R11" s="47">
        <v>3833.29742295291</v>
      </c>
      <c r="S11" s="47">
        <v>3963.7808103327402</v>
      </c>
      <c r="T11" s="47">
        <v>4077.9819053967699</v>
      </c>
      <c r="U11" s="47">
        <v>4005.3428329272501</v>
      </c>
      <c r="V11" s="47">
        <v>4267.24394515928</v>
      </c>
      <c r="W11" s="47">
        <v>4284.6890214545801</v>
      </c>
      <c r="X11" s="47">
        <v>4324.0186156050004</v>
      </c>
      <c r="Y11" s="47">
        <v>4346.7680359940896</v>
      </c>
      <c r="Z11" s="47">
        <v>4669.1762136576699</v>
      </c>
      <c r="AA11" s="47">
        <v>4739.4056929142898</v>
      </c>
      <c r="AB11" s="47">
        <v>4787.9170088323699</v>
      </c>
      <c r="AC11" s="47">
        <v>4767.9154681827904</v>
      </c>
      <c r="AD11" s="47">
        <v>4811.9811393540704</v>
      </c>
      <c r="AE11" s="47">
        <v>4816.2657911051401</v>
      </c>
    </row>
    <row r="12" spans="1:31" ht="20.100000000000001" customHeight="1">
      <c r="B12" s="29" t="s">
        <v>358</v>
      </c>
      <c r="F12" s="30" t="s">
        <v>157</v>
      </c>
      <c r="G12" s="32" t="s">
        <v>156</v>
      </c>
      <c r="H12" s="47">
        <v>2069.2817329999998</v>
      </c>
      <c r="I12" s="47">
        <v>2142.9980770000002</v>
      </c>
      <c r="J12" s="47">
        <v>2323.0732363636398</v>
      </c>
      <c r="K12" s="47">
        <v>2290.6889019940299</v>
      </c>
      <c r="L12" s="47">
        <v>2117.9952060620299</v>
      </c>
      <c r="M12" s="47">
        <v>2108.17261959913</v>
      </c>
      <c r="N12" s="47">
        <v>2081.4491375570501</v>
      </c>
      <c r="O12" s="47">
        <v>2062.3936172836402</v>
      </c>
      <c r="P12" s="47">
        <v>2043.91800779548</v>
      </c>
      <c r="Q12" s="47">
        <v>2036.0783222861201</v>
      </c>
      <c r="R12" s="47">
        <v>1968.39247535607</v>
      </c>
      <c r="S12" s="47">
        <v>1974.7336054780201</v>
      </c>
      <c r="T12" s="47">
        <v>1987.0691080669101</v>
      </c>
      <c r="U12" s="47">
        <v>2016.8751446879101</v>
      </c>
      <c r="V12" s="47">
        <v>1976.53764179415</v>
      </c>
      <c r="W12" s="47">
        <v>1996.3030182120999</v>
      </c>
      <c r="X12" s="47">
        <v>2016.26604839422</v>
      </c>
      <c r="Y12" s="47">
        <v>2036.42870887816</v>
      </c>
      <c r="Z12" s="47">
        <v>1995.7001347006001</v>
      </c>
      <c r="AA12" s="47">
        <v>2015.6571360476</v>
      </c>
      <c r="AB12" s="47">
        <v>2041.8606788162199</v>
      </c>
      <c r="AC12" s="47">
        <v>2072.4885889984598</v>
      </c>
      <c r="AD12" s="47">
        <v>2031.0388172184901</v>
      </c>
      <c r="AE12" s="47">
        <v>2069.62855474565</v>
      </c>
    </row>
    <row r="13" spans="1:31" ht="20.100000000000001" customHeight="1">
      <c r="B13" s="29" t="s">
        <v>358</v>
      </c>
      <c r="F13" s="30" t="s">
        <v>158</v>
      </c>
      <c r="G13" s="32" t="s">
        <v>156</v>
      </c>
      <c r="H13" s="47">
        <v>1214</v>
      </c>
      <c r="I13" s="47">
        <v>1313.350668</v>
      </c>
      <c r="J13" s="47">
        <v>1232.9830492424201</v>
      </c>
      <c r="K13" s="47">
        <v>1258.8474813432799</v>
      </c>
      <c r="L13" s="47">
        <v>1281.22518382353</v>
      </c>
      <c r="M13" s="47">
        <v>1276.08922101449</v>
      </c>
      <c r="N13" s="47">
        <v>1271.0999999999999</v>
      </c>
      <c r="O13" s="47">
        <v>1279.30545774648</v>
      </c>
      <c r="P13" s="47">
        <v>1287.2829861111099</v>
      </c>
      <c r="Q13" s="47">
        <v>1284.88476027397</v>
      </c>
      <c r="R13" s="47">
        <v>1277.54138513513</v>
      </c>
      <c r="S13" s="47">
        <v>1278.91996644295</v>
      </c>
      <c r="T13" s="47">
        <v>1280.2801666666701</v>
      </c>
      <c r="U13" s="47">
        <v>1290.1665</v>
      </c>
      <c r="V13" s="47">
        <v>1295.1096666666699</v>
      </c>
      <c r="W13" s="47">
        <v>1302.88032466667</v>
      </c>
      <c r="X13" s="47">
        <v>1310.6976066146699</v>
      </c>
      <c r="Y13" s="47">
        <v>1318.5617922543499</v>
      </c>
      <c r="Z13" s="47">
        <v>1305.37617433181</v>
      </c>
      <c r="AA13" s="47">
        <v>1313.2084313778</v>
      </c>
      <c r="AB13" s="47">
        <v>1319.7744735346901</v>
      </c>
      <c r="AC13" s="47">
        <v>1326.3733459023599</v>
      </c>
      <c r="AD13" s="47">
        <v>1329.6892792671199</v>
      </c>
      <c r="AE13" s="47">
        <v>1333.01350246529</v>
      </c>
    </row>
    <row r="14" spans="1:31" ht="20.100000000000001" customHeight="1">
      <c r="B14" s="29" t="s">
        <v>358</v>
      </c>
      <c r="F14" s="30" t="s">
        <v>80</v>
      </c>
      <c r="G14" s="32" t="s">
        <v>156</v>
      </c>
      <c r="H14" s="47">
        <v>1085.8705259999999</v>
      </c>
      <c r="I14" s="47">
        <v>966.79550900000004</v>
      </c>
      <c r="J14" s="47">
        <v>943.05639084286099</v>
      </c>
      <c r="K14" s="47">
        <v>978.29427166069502</v>
      </c>
      <c r="L14" s="47">
        <v>962.51324580386404</v>
      </c>
      <c r="M14" s="47">
        <v>955.63114054059497</v>
      </c>
      <c r="N14" s="47">
        <v>983.44874910148405</v>
      </c>
      <c r="O14" s="47">
        <v>971.731493683895</v>
      </c>
      <c r="P14" s="47">
        <v>962.80806088637803</v>
      </c>
      <c r="Q14" s="47">
        <v>955.45816774648597</v>
      </c>
      <c r="R14" s="47">
        <v>901.27583351762996</v>
      </c>
      <c r="S14" s="47">
        <v>900.41858126528302</v>
      </c>
      <c r="T14" s="47">
        <v>900.70087934266905</v>
      </c>
      <c r="U14" s="47">
        <v>905.38170678866697</v>
      </c>
      <c r="V14" s="47">
        <v>939.00005991065404</v>
      </c>
      <c r="W14" s="47">
        <v>942.39789346546502</v>
      </c>
      <c r="X14" s="47">
        <v>947.20463299006303</v>
      </c>
      <c r="Y14" s="47">
        <v>954.69193666346303</v>
      </c>
      <c r="Z14" s="47">
        <v>932.58304218731701</v>
      </c>
      <c r="AA14" s="47">
        <v>919.62515067873699</v>
      </c>
      <c r="AB14" s="47">
        <v>930.57794513613896</v>
      </c>
      <c r="AC14" s="47">
        <v>941.52469340439404</v>
      </c>
      <c r="AD14" s="47">
        <v>947.506591859683</v>
      </c>
      <c r="AE14" s="47">
        <v>954.81420305626204</v>
      </c>
    </row>
    <row r="15" spans="1:31" ht="20.100000000000001" customHeight="1">
      <c r="B15" s="29" t="s">
        <v>358</v>
      </c>
      <c r="F15" s="30" t="s">
        <v>160</v>
      </c>
      <c r="G15" s="32" t="s">
        <v>156</v>
      </c>
      <c r="H15" s="47">
        <v>456.71903400000002</v>
      </c>
      <c r="I15" s="47">
        <v>540.464606</v>
      </c>
      <c r="J15" s="47">
        <v>495.35671268822199</v>
      </c>
      <c r="K15" s="47">
        <v>494.09256784386099</v>
      </c>
      <c r="L15" s="47">
        <v>485.96317455935099</v>
      </c>
      <c r="M15" s="47">
        <v>488.371948162519</v>
      </c>
      <c r="N15" s="47">
        <v>506.89852409385702</v>
      </c>
      <c r="O15" s="47">
        <v>505.60492467462302</v>
      </c>
      <c r="P15" s="47">
        <v>494.71051170141902</v>
      </c>
      <c r="Q15" s="47">
        <v>497.162643229445</v>
      </c>
      <c r="R15" s="47">
        <v>516.02269752754705</v>
      </c>
      <c r="S15" s="47">
        <v>514.70581331876599</v>
      </c>
      <c r="T15" s="47">
        <v>615.69872450877301</v>
      </c>
      <c r="U15" s="47">
        <v>618.75055829524501</v>
      </c>
      <c r="V15" s="47">
        <v>642.22309647837506</v>
      </c>
      <c r="W15" s="47">
        <v>640.58415024922897</v>
      </c>
      <c r="X15" s="47">
        <v>615.69872450877301</v>
      </c>
      <c r="Y15" s="47">
        <v>618.75055829524501</v>
      </c>
      <c r="Z15" s="47">
        <v>642.22309647837506</v>
      </c>
      <c r="AA15" s="47">
        <v>640.58415024922897</v>
      </c>
      <c r="AB15" s="47">
        <v>615.69872450877301</v>
      </c>
      <c r="AC15" s="47">
        <v>618.75055829524501</v>
      </c>
      <c r="AD15" s="47">
        <v>642.22309647837506</v>
      </c>
      <c r="AE15" s="47">
        <v>640.58415024922897</v>
      </c>
    </row>
    <row r="16" spans="1:31" ht="20.100000000000001" customHeight="1">
      <c r="B16" s="29" t="s">
        <v>358</v>
      </c>
      <c r="F16" s="30" t="s">
        <v>159</v>
      </c>
      <c r="G16" s="32" t="s">
        <v>156</v>
      </c>
      <c r="H16" s="47">
        <v>971.49766417910496</v>
      </c>
      <c r="I16" s="47">
        <v>842.71601356589099</v>
      </c>
      <c r="J16" s="47">
        <v>913.60104413348699</v>
      </c>
      <c r="K16" s="47">
        <v>834.99964179104404</v>
      </c>
      <c r="L16" s="47">
        <v>610.62733932461799</v>
      </c>
      <c r="M16" s="47">
        <v>603.96550187869002</v>
      </c>
      <c r="N16" s="47">
        <v>621.224126984127</v>
      </c>
      <c r="O16" s="47">
        <v>612.47449139280195</v>
      </c>
      <c r="P16" s="47">
        <v>600.791499485597</v>
      </c>
      <c r="Q16" s="47">
        <v>592.56147894469905</v>
      </c>
      <c r="R16" s="47">
        <v>637.91615365365305</v>
      </c>
      <c r="S16" s="47">
        <v>630.49254287844894</v>
      </c>
      <c r="T16" s="47">
        <v>629.71160493827199</v>
      </c>
      <c r="U16" s="47">
        <v>629.71160493827199</v>
      </c>
      <c r="V16" s="47">
        <v>911.44140740740704</v>
      </c>
      <c r="W16" s="47">
        <v>916.12441975308604</v>
      </c>
      <c r="X16" s="47">
        <v>916.12441975308604</v>
      </c>
      <c r="Y16" s="47">
        <v>939.86408641975299</v>
      </c>
      <c r="Z16" s="47">
        <v>983.49587654320999</v>
      </c>
      <c r="AA16" s="47">
        <v>1019.5458765432101</v>
      </c>
      <c r="AB16" s="47">
        <v>1063.2775308641999</v>
      </c>
      <c r="AC16" s="47">
        <v>1063.2775308641999</v>
      </c>
      <c r="AD16" s="47">
        <v>1106.6576419753101</v>
      </c>
      <c r="AE16" s="47">
        <v>1144.1076419753099</v>
      </c>
    </row>
    <row r="17" spans="2:31" ht="20.100000000000001" customHeight="1">
      <c r="B17" t="s">
        <v>358</v>
      </c>
      <c r="F17" s="30" t="s">
        <v>225</v>
      </c>
      <c r="G17" s="32" t="s">
        <v>156</v>
      </c>
      <c r="H17" s="47">
        <f t="shared" ref="H17:AE17" si="37">H18-SUM(H9:H16)</f>
        <v>9120.3931397910928</v>
      </c>
      <c r="I17" s="47">
        <f>I18-SUM(I9:I16)</f>
        <v>8638.7218646961046</v>
      </c>
      <c r="J17" s="47">
        <f t="shared" si="37"/>
        <v>8273.8366345168688</v>
      </c>
      <c r="K17" s="47">
        <f t="shared" si="37"/>
        <v>8546.0700029194122</v>
      </c>
      <c r="L17" s="47">
        <f t="shared" si="37"/>
        <v>8797.3565223033293</v>
      </c>
      <c r="M17" s="47">
        <f t="shared" si="37"/>
        <v>9011.3765591863048</v>
      </c>
      <c r="N17" s="47">
        <f t="shared" si="37"/>
        <v>9492.6470954964752</v>
      </c>
      <c r="O17" s="47">
        <f t="shared" si="37"/>
        <v>9656.5829191099183</v>
      </c>
      <c r="P17" s="47">
        <f t="shared" si="37"/>
        <v>9779.0833038467681</v>
      </c>
      <c r="Q17" s="47">
        <f t="shared" si="37"/>
        <v>9870.6944163860826</v>
      </c>
      <c r="R17" s="47">
        <f t="shared" si="37"/>
        <v>10074.474683548491</v>
      </c>
      <c r="S17" s="47">
        <f t="shared" si="37"/>
        <v>10200.39419879581</v>
      </c>
      <c r="T17" s="47">
        <f t="shared" si="37"/>
        <v>10301.059648696326</v>
      </c>
      <c r="U17" s="47">
        <f t="shared" si="37"/>
        <v>10409.039024164929</v>
      </c>
      <c r="V17" s="47">
        <f t="shared" si="37"/>
        <v>10578.880259779464</v>
      </c>
      <c r="W17" s="47">
        <f t="shared" si="37"/>
        <v>10661.101119188243</v>
      </c>
      <c r="X17" s="47">
        <f t="shared" si="37"/>
        <v>10759.909940564467</v>
      </c>
      <c r="Y17" s="47">
        <f t="shared" si="37"/>
        <v>10814.91431027354</v>
      </c>
      <c r="Z17" s="47">
        <f t="shared" si="37"/>
        <v>10945.500506244374</v>
      </c>
      <c r="AA17" s="47">
        <f t="shared" si="37"/>
        <v>11009.485494503242</v>
      </c>
      <c r="AB17" s="47">
        <f t="shared" si="37"/>
        <v>11125.804243352686</v>
      </c>
      <c r="AC17" s="47">
        <f t="shared" si="37"/>
        <v>11240.597967368856</v>
      </c>
      <c r="AD17" s="47">
        <f t="shared" si="37"/>
        <v>11229.456967529215</v>
      </c>
      <c r="AE17" s="47">
        <f t="shared" si="37"/>
        <v>11217.416196243685</v>
      </c>
    </row>
    <row r="18" spans="2:31" ht="20.100000000000001" customHeight="1">
      <c r="B18" s="39" t="s">
        <v>358</v>
      </c>
      <c r="F18" s="43" t="s">
        <v>164</v>
      </c>
      <c r="G18" s="54" t="s">
        <v>156</v>
      </c>
      <c r="H18" s="47">
        <v>58514.561957970203</v>
      </c>
      <c r="I18" s="70">
        <v>62637.600411261999</v>
      </c>
      <c r="J18" s="70">
        <v>57715.427845412203</v>
      </c>
      <c r="K18" s="70">
        <v>54822.409457971997</v>
      </c>
      <c r="L18" s="70">
        <v>52362.073305534701</v>
      </c>
      <c r="M18" s="70">
        <v>51818.185038638403</v>
      </c>
      <c r="N18" s="70">
        <v>50766.817521544603</v>
      </c>
      <c r="O18" s="70">
        <v>50817.4794195133</v>
      </c>
      <c r="P18" s="70">
        <v>50405.545489963501</v>
      </c>
      <c r="Q18" s="70">
        <v>50049.628388893601</v>
      </c>
      <c r="R18" s="70">
        <v>48506.424737349902</v>
      </c>
      <c r="S18" s="70">
        <v>48619.628431468998</v>
      </c>
      <c r="T18" s="70">
        <v>48503.338897486603</v>
      </c>
      <c r="U18" s="70">
        <v>49078.851006268203</v>
      </c>
      <c r="V18" s="70">
        <v>49033.781336743603</v>
      </c>
      <c r="W18" s="70">
        <v>49604.196062356699</v>
      </c>
      <c r="X18" s="70">
        <v>49921.1398874675</v>
      </c>
      <c r="Y18" s="70">
        <v>50615.2519890697</v>
      </c>
      <c r="Z18" s="70">
        <v>50026.560944894904</v>
      </c>
      <c r="AA18" s="70">
        <v>50792.811346096198</v>
      </c>
      <c r="AB18" s="70">
        <v>51140.256561631802</v>
      </c>
      <c r="AC18" s="70">
        <v>51827.673775639902</v>
      </c>
      <c r="AD18" s="70">
        <v>50810.810158808803</v>
      </c>
      <c r="AE18" s="70">
        <v>51433.565116528203</v>
      </c>
    </row>
    <row r="19" spans="2:31" ht="20.100000000000001" customHeight="1">
      <c r="B19" s="30" t="s">
        <v>358</v>
      </c>
      <c r="F19" s="30" t="s">
        <v>43</v>
      </c>
      <c r="G19" s="32" t="s">
        <v>156</v>
      </c>
      <c r="H19" s="47">
        <v>11943.450038999999</v>
      </c>
      <c r="I19" s="47">
        <v>14255.853567</v>
      </c>
      <c r="J19" s="47">
        <v>13779.114015368399</v>
      </c>
      <c r="K19" s="47">
        <v>13234.509547879101</v>
      </c>
      <c r="L19" s="47">
        <v>12795.3895175037</v>
      </c>
      <c r="M19" s="47">
        <v>11871.2668445119</v>
      </c>
      <c r="N19" s="47">
        <v>10527.8037320453</v>
      </c>
      <c r="O19" s="47">
        <v>10522.124437431599</v>
      </c>
      <c r="P19" s="47">
        <v>10729.774110734899</v>
      </c>
      <c r="Q19" s="47">
        <v>10391.628282879999</v>
      </c>
      <c r="R19" s="47">
        <v>10219.8583455404</v>
      </c>
      <c r="S19" s="47">
        <v>10265.5984113983</v>
      </c>
      <c r="T19" s="47">
        <v>10567.2552259187</v>
      </c>
      <c r="U19" s="47">
        <v>10455.159478604301</v>
      </c>
      <c r="V19" s="47">
        <v>10417.896287855099</v>
      </c>
      <c r="W19" s="47">
        <v>10620.6856063504</v>
      </c>
      <c r="X19" s="47">
        <v>10443.537629569601</v>
      </c>
      <c r="Y19" s="47">
        <v>10251.021057874899</v>
      </c>
      <c r="Z19" s="47">
        <v>10103.1663859899</v>
      </c>
      <c r="AA19" s="47">
        <v>10448.1859722756</v>
      </c>
      <c r="AB19" s="47">
        <v>10164.9605879837</v>
      </c>
      <c r="AC19" s="47">
        <v>10022.867162263399</v>
      </c>
      <c r="AD19" s="47">
        <v>10020.987419561799</v>
      </c>
      <c r="AE19" s="47">
        <v>10019.165647313201</v>
      </c>
    </row>
    <row r="20" spans="2:31" ht="20.100000000000001" customHeight="1">
      <c r="B20" s="29" t="s">
        <v>358</v>
      </c>
      <c r="F20" s="30" t="s">
        <v>71</v>
      </c>
      <c r="G20" s="32" t="s">
        <v>156</v>
      </c>
      <c r="H20" s="47">
        <v>9753.8720350000003</v>
      </c>
      <c r="I20" s="47">
        <v>10340.723617</v>
      </c>
      <c r="J20" s="47">
        <v>9023.6846468389995</v>
      </c>
      <c r="K20" s="47">
        <v>7131.8849350637702</v>
      </c>
      <c r="L20" s="47">
        <v>7134.7381124416497</v>
      </c>
      <c r="M20" s="47">
        <v>7048.3841830391302</v>
      </c>
      <c r="N20" s="47">
        <v>7219.4256759588498</v>
      </c>
      <c r="O20" s="47">
        <v>6745.0197643519696</v>
      </c>
      <c r="P20" s="47">
        <v>6734.4236992107799</v>
      </c>
      <c r="Q20" s="47">
        <v>6488.6823653559804</v>
      </c>
      <c r="R20" s="47">
        <v>7126.8233261552195</v>
      </c>
      <c r="S20" s="47">
        <v>6429.2540447371102</v>
      </c>
      <c r="T20" s="47">
        <v>6327.0878583970198</v>
      </c>
      <c r="U20" s="47">
        <v>6478.2399938451099</v>
      </c>
      <c r="V20" s="47">
        <v>7048.3666856300797</v>
      </c>
      <c r="W20" s="47">
        <v>6338.5164745592001</v>
      </c>
      <c r="X20" s="47">
        <v>6464.13006535356</v>
      </c>
      <c r="Y20" s="47">
        <v>6946.9003511848796</v>
      </c>
      <c r="Z20" s="47">
        <v>7169.4248006169701</v>
      </c>
      <c r="AA20" s="47">
        <v>6838.5269084739502</v>
      </c>
      <c r="AB20" s="47">
        <v>6491.6867743881603</v>
      </c>
      <c r="AC20" s="47">
        <v>6407.2664121970502</v>
      </c>
      <c r="AD20" s="47">
        <v>6984.4924653509297</v>
      </c>
      <c r="AE20" s="47">
        <v>4333.2361891568098</v>
      </c>
    </row>
    <row r="21" spans="2:31" ht="20.100000000000001" customHeight="1">
      <c r="B21" s="29" t="s">
        <v>358</v>
      </c>
      <c r="F21" s="30" t="s">
        <v>91</v>
      </c>
      <c r="G21" s="32" t="s">
        <v>156</v>
      </c>
      <c r="H21" s="47">
        <v>16785.207062000001</v>
      </c>
      <c r="I21" s="47">
        <v>17727.859215</v>
      </c>
      <c r="J21" s="47">
        <v>18975.9075035313</v>
      </c>
      <c r="K21" s="47">
        <v>18050.743980954401</v>
      </c>
      <c r="L21" s="47">
        <v>18255.2257703262</v>
      </c>
      <c r="M21" s="47">
        <v>16934.737110592501</v>
      </c>
      <c r="N21" s="47">
        <v>15478.4293423851</v>
      </c>
      <c r="O21" s="47">
        <v>14725.4423158097</v>
      </c>
      <c r="P21" s="47">
        <v>14659.8807147842</v>
      </c>
      <c r="Q21" s="47">
        <v>14339.742954027601</v>
      </c>
      <c r="R21" s="47">
        <v>13352.5044297855</v>
      </c>
      <c r="S21" s="47">
        <v>13005.6124209234</v>
      </c>
      <c r="T21" s="47">
        <v>14264.828864356199</v>
      </c>
      <c r="U21" s="47">
        <v>14237.1820735153</v>
      </c>
      <c r="V21" s="47">
        <v>14153.6394863724</v>
      </c>
      <c r="W21" s="47">
        <v>13747.5855680513</v>
      </c>
      <c r="X21" s="47">
        <v>13175.693182942599</v>
      </c>
      <c r="Y21" s="47">
        <v>13523.030190163599</v>
      </c>
      <c r="Z21" s="47">
        <v>13525.155543811699</v>
      </c>
      <c r="AA21" s="47">
        <v>13545.7877609222</v>
      </c>
      <c r="AB21" s="47">
        <v>14126.1048565614</v>
      </c>
      <c r="AC21" s="47">
        <v>12587.1307397897</v>
      </c>
      <c r="AD21" s="47">
        <v>12339.284820012799</v>
      </c>
      <c r="AE21" s="47">
        <v>12100.3557344337</v>
      </c>
    </row>
    <row r="22" spans="2:31" ht="20.100000000000001" customHeight="1">
      <c r="B22" s="29" t="s">
        <v>358</v>
      </c>
      <c r="F22" s="30" t="s">
        <v>161</v>
      </c>
      <c r="G22" s="32" t="s">
        <v>156</v>
      </c>
      <c r="H22" s="47">
        <v>3191.8129520000002</v>
      </c>
      <c r="I22" s="47">
        <v>3202.889537</v>
      </c>
      <c r="J22" s="47">
        <v>3422.2042210363902</v>
      </c>
      <c r="K22" s="47">
        <v>3285.8167277580701</v>
      </c>
      <c r="L22" s="47">
        <v>3146.7098486887999</v>
      </c>
      <c r="M22" s="47">
        <v>3118.9832180892699</v>
      </c>
      <c r="N22" s="47">
        <v>2710.9347625974501</v>
      </c>
      <c r="O22" s="47">
        <v>2591.1791548881502</v>
      </c>
      <c r="P22" s="47">
        <v>2518.9654512519701</v>
      </c>
      <c r="Q22" s="47">
        <v>2468.2450222319799</v>
      </c>
      <c r="R22" s="47">
        <v>2340.9458893404399</v>
      </c>
      <c r="S22" s="47">
        <v>2317.8122357407601</v>
      </c>
      <c r="T22" s="47">
        <v>2303.9498840067899</v>
      </c>
      <c r="U22" s="47">
        <v>2299.5616638396</v>
      </c>
      <c r="V22" s="47">
        <v>2056.4457148637098</v>
      </c>
      <c r="W22" s="47">
        <v>2047.8863183196599</v>
      </c>
      <c r="X22" s="47">
        <v>2048.9330821380699</v>
      </c>
      <c r="Y22" s="47">
        <v>2048.8300297004498</v>
      </c>
      <c r="Z22" s="47">
        <v>1779.43697830623</v>
      </c>
      <c r="AA22" s="47">
        <v>2100.0825645677501</v>
      </c>
      <c r="AB22" s="47">
        <v>2100.7979049517999</v>
      </c>
      <c r="AC22" s="47">
        <v>2000.13185461547</v>
      </c>
      <c r="AD22" s="47">
        <v>1863.21132196284</v>
      </c>
      <c r="AE22" s="47">
        <v>1915.48887004996</v>
      </c>
    </row>
    <row r="23" spans="2:31" ht="19.5" customHeight="1">
      <c r="B23" s="29" t="s">
        <v>358</v>
      </c>
      <c r="F23" s="30" t="s">
        <v>162</v>
      </c>
      <c r="G23" s="32" t="s">
        <v>156</v>
      </c>
      <c r="H23" s="47">
        <v>188.52880691999999</v>
      </c>
      <c r="I23" s="47">
        <v>299.34776027999999</v>
      </c>
      <c r="J23" s="47">
        <v>312.68773695711297</v>
      </c>
      <c r="K23" s="47">
        <v>380.336118535693</v>
      </c>
      <c r="L23" s="47">
        <v>393.493909203295</v>
      </c>
      <c r="M23" s="47">
        <v>402.75688939605698</v>
      </c>
      <c r="N23" s="47">
        <v>412.629717685027</v>
      </c>
      <c r="O23" s="47">
        <v>421.61435628811898</v>
      </c>
      <c r="P23" s="47">
        <v>422.209692591818</v>
      </c>
      <c r="Q23" s="47">
        <v>430.16416465932002</v>
      </c>
      <c r="R23" s="47">
        <v>525.98351239446697</v>
      </c>
      <c r="S23" s="47">
        <v>534.27551697926003</v>
      </c>
      <c r="T23" s="47">
        <v>532.42603866171396</v>
      </c>
      <c r="U23" s="47">
        <v>534.310629185376</v>
      </c>
      <c r="V23" s="47">
        <v>537.450896491354</v>
      </c>
      <c r="W23" s="47">
        <v>543.78719252988697</v>
      </c>
      <c r="X23" s="47">
        <v>553.01872656072703</v>
      </c>
      <c r="Y23" s="47">
        <v>562.91842540245295</v>
      </c>
      <c r="Z23" s="47">
        <v>571.98260124789601</v>
      </c>
      <c r="AA23" s="47">
        <v>578.64832856925796</v>
      </c>
      <c r="AB23" s="47">
        <v>583.17367864487096</v>
      </c>
      <c r="AC23" s="47">
        <v>587.35041695275299</v>
      </c>
      <c r="AD23" s="47">
        <v>580.31190318152096</v>
      </c>
      <c r="AE23" s="47">
        <v>584.56225416268398</v>
      </c>
    </row>
    <row r="24" spans="2:31" ht="19.5" customHeight="1">
      <c r="B24" t="s">
        <v>358</v>
      </c>
      <c r="F24" s="30" t="s">
        <v>167</v>
      </c>
      <c r="G24" s="32" t="s">
        <v>156</v>
      </c>
      <c r="H24" s="47">
        <f>H25-SUM(H19:H23)</f>
        <v>1479.379124921601</v>
      </c>
      <c r="I24" s="47">
        <f t="shared" ref="I24:AE24" si="38">I25-SUM(I19:I23)</f>
        <v>1596.4575630000036</v>
      </c>
      <c r="J24" s="47">
        <f t="shared" si="38"/>
        <v>1262.5068253228019</v>
      </c>
      <c r="K24" s="47">
        <f t="shared" si="38"/>
        <v>1256.0070090998634</v>
      </c>
      <c r="L24" s="47">
        <f t="shared" si="38"/>
        <v>1258.9455881062604</v>
      </c>
      <c r="M24" s="47">
        <f t="shared" si="38"/>
        <v>1243.5644768988423</v>
      </c>
      <c r="N24" s="47">
        <f t="shared" si="38"/>
        <v>1214.0070635283701</v>
      </c>
      <c r="O24" s="47">
        <f t="shared" si="38"/>
        <v>1202.8297725427619</v>
      </c>
      <c r="P24" s="47">
        <f t="shared" si="38"/>
        <v>1207.9226982284381</v>
      </c>
      <c r="Q24" s="47">
        <f t="shared" si="38"/>
        <v>1205.7164297129202</v>
      </c>
      <c r="R24" s="47">
        <f t="shared" si="38"/>
        <v>1200.5307807182762</v>
      </c>
      <c r="S24" s="47">
        <f t="shared" si="38"/>
        <v>1204.103678332569</v>
      </c>
      <c r="T24" s="47">
        <f t="shared" si="38"/>
        <v>1220.9040167098792</v>
      </c>
      <c r="U24" s="47">
        <f t="shared" si="38"/>
        <v>1229.6397015948096</v>
      </c>
      <c r="V24" s="47">
        <f t="shared" si="38"/>
        <v>1236.0094725578601</v>
      </c>
      <c r="W24" s="47">
        <f t="shared" si="38"/>
        <v>1237.8882729100515</v>
      </c>
      <c r="X24" s="47">
        <f t="shared" si="38"/>
        <v>1244.1448785267457</v>
      </c>
      <c r="Y24" s="47">
        <f t="shared" si="38"/>
        <v>1257.1058546953209</v>
      </c>
      <c r="Z24" s="47">
        <f t="shared" si="38"/>
        <v>1251.687120940609</v>
      </c>
      <c r="AA24" s="47">
        <f t="shared" si="38"/>
        <v>1254.8990236362442</v>
      </c>
      <c r="AB24" s="47">
        <f t="shared" si="38"/>
        <v>1271.286706584171</v>
      </c>
      <c r="AC24" s="47">
        <f t="shared" si="38"/>
        <v>1277.0839585154317</v>
      </c>
      <c r="AD24" s="47">
        <f t="shared" si="38"/>
        <v>1275.2841127912106</v>
      </c>
      <c r="AE24" s="47">
        <f t="shared" si="38"/>
        <v>1279.7426134495436</v>
      </c>
    </row>
    <row r="25" spans="2:31" ht="18" customHeight="1">
      <c r="B25" s="39" t="s">
        <v>358</v>
      </c>
      <c r="F25" s="39" t="s">
        <v>165</v>
      </c>
      <c r="G25" s="52" t="s">
        <v>156</v>
      </c>
      <c r="H25" s="70">
        <v>43342.250019841602</v>
      </c>
      <c r="I25" s="70">
        <v>47423.131259280002</v>
      </c>
      <c r="J25" s="70">
        <v>46776.104949054999</v>
      </c>
      <c r="K25" s="70">
        <v>43339.298319290901</v>
      </c>
      <c r="L25" s="70">
        <v>42984.5027462699</v>
      </c>
      <c r="M25" s="70">
        <v>40619.692722527703</v>
      </c>
      <c r="N25" s="70">
        <v>37563.230294200097</v>
      </c>
      <c r="O25" s="70">
        <v>36208.209801312303</v>
      </c>
      <c r="P25" s="70">
        <v>36273.176366802101</v>
      </c>
      <c r="Q25" s="70">
        <v>35324.179218867801</v>
      </c>
      <c r="R25" s="70">
        <v>34766.6462839343</v>
      </c>
      <c r="S25" s="70">
        <v>33756.6563081114</v>
      </c>
      <c r="T25" s="70">
        <v>35216.451888050302</v>
      </c>
      <c r="U25" s="70">
        <v>35234.093540584501</v>
      </c>
      <c r="V25" s="70">
        <v>35449.808543770501</v>
      </c>
      <c r="W25" s="70">
        <v>34536.349432720497</v>
      </c>
      <c r="X25" s="70">
        <v>33929.457565091303</v>
      </c>
      <c r="Y25" s="70">
        <v>34589.805909021597</v>
      </c>
      <c r="Z25" s="70">
        <v>34400.853430913303</v>
      </c>
      <c r="AA25" s="70">
        <v>34766.130558445002</v>
      </c>
      <c r="AB25" s="70">
        <v>34738.010509114101</v>
      </c>
      <c r="AC25" s="70">
        <v>32881.830544333803</v>
      </c>
      <c r="AD25" s="70">
        <v>33063.572042861102</v>
      </c>
      <c r="AE25" s="70">
        <v>30232.5513085659</v>
      </c>
    </row>
    <row r="26" spans="2:31" ht="18" customHeight="1">
      <c r="B26" s="39" t="s">
        <v>358</v>
      </c>
      <c r="F26" s="69" t="s">
        <v>166</v>
      </c>
      <c r="G26" s="52" t="s">
        <v>156</v>
      </c>
      <c r="H26" s="70">
        <v>101856.811977812</v>
      </c>
      <c r="I26" s="70">
        <v>110060.73167054199</v>
      </c>
      <c r="J26" s="70">
        <v>104491.532794467</v>
      </c>
      <c r="K26" s="70">
        <v>98161.707777262898</v>
      </c>
      <c r="L26" s="70">
        <v>95346.576051804499</v>
      </c>
      <c r="M26" s="70">
        <v>92437.877761166194</v>
      </c>
      <c r="N26" s="70">
        <v>88330.047815744707</v>
      </c>
      <c r="O26" s="70">
        <v>87025.689220825603</v>
      </c>
      <c r="P26" s="70">
        <v>86678.721856765595</v>
      </c>
      <c r="Q26" s="70">
        <v>85373.807607761395</v>
      </c>
      <c r="R26" s="70">
        <v>83273.071021284195</v>
      </c>
      <c r="S26" s="70">
        <v>82376.284739580398</v>
      </c>
      <c r="T26" s="70">
        <v>83719.790785536898</v>
      </c>
      <c r="U26" s="70">
        <v>84312.944546852596</v>
      </c>
      <c r="V26" s="70">
        <v>84483.589880514002</v>
      </c>
      <c r="W26" s="70">
        <v>84140.545495077196</v>
      </c>
      <c r="X26" s="70">
        <v>83850.597452558795</v>
      </c>
      <c r="Y26" s="70">
        <v>85205.057898091298</v>
      </c>
      <c r="Z26" s="70">
        <v>84427.414375808206</v>
      </c>
      <c r="AA26" s="70">
        <v>85558.941904541207</v>
      </c>
      <c r="AB26" s="70">
        <v>85878.267070745904</v>
      </c>
      <c r="AC26" s="70">
        <v>84709.504319973799</v>
      </c>
      <c r="AD26" s="70">
        <v>83874.382201669898</v>
      </c>
      <c r="AE26" s="70">
        <v>81666.116425094195</v>
      </c>
    </row>
    <row r="27" spans="2:31" ht="9.9499999999999993" customHeight="1">
      <c r="B27" t="s">
        <v>358</v>
      </c>
      <c r="G27" s="37" t="s">
        <v>0</v>
      </c>
      <c r="K27" s="65"/>
      <c r="L27" s="29"/>
      <c r="M27" s="29"/>
      <c r="N27" s="37" t="s">
        <v>0</v>
      </c>
      <c r="P27" s="37"/>
      <c r="Q27" s="37"/>
    </row>
    <row r="28" spans="2:31" ht="9.9499999999999993" customHeight="1">
      <c r="B28" t="s">
        <v>358</v>
      </c>
      <c r="G28" s="37" t="s">
        <v>0</v>
      </c>
      <c r="K28" s="65"/>
      <c r="L28" s="29"/>
      <c r="M28" s="29"/>
      <c r="N28" s="37" t="s">
        <v>0</v>
      </c>
      <c r="P28" s="37"/>
    </row>
    <row r="29" spans="2:31" ht="15.75" customHeight="1">
      <c r="B29" t="s">
        <v>358</v>
      </c>
      <c r="E29" s="39" t="s">
        <v>269</v>
      </c>
      <c r="F29" s="16" t="s">
        <v>287</v>
      </c>
      <c r="K29" s="65"/>
      <c r="L29" s="29"/>
      <c r="M29" s="29"/>
      <c r="P29" s="37"/>
    </row>
    <row r="30" spans="2:31" ht="15" customHeight="1">
      <c r="B30" t="s">
        <v>358</v>
      </c>
      <c r="E30" s="39" t="s">
        <v>260</v>
      </c>
      <c r="F30" s="42" t="s">
        <v>312</v>
      </c>
      <c r="L30" s="37" t="s">
        <v>0</v>
      </c>
      <c r="AE30" s="29" t="s">
        <v>358</v>
      </c>
    </row>
    <row r="31" spans="2:31" ht="15" customHeight="1">
      <c r="B31" t="s">
        <v>358</v>
      </c>
      <c r="E31" s="39" t="s">
        <v>262</v>
      </c>
      <c r="F31" s="42" t="s">
        <v>298</v>
      </c>
    </row>
    <row r="32" spans="2:31" ht="14.25" customHeight="1">
      <c r="B32" t="s">
        <v>358</v>
      </c>
      <c r="F32" s="42" t="s">
        <v>320</v>
      </c>
    </row>
    <row r="33" spans="2:31" ht="14.25" customHeight="1">
      <c r="B33" t="s">
        <v>358</v>
      </c>
      <c r="F33" s="29"/>
      <c r="G33" s="37" t="s">
        <v>0</v>
      </c>
      <c r="L33" s="37" t="s">
        <v>0</v>
      </c>
    </row>
    <row r="34" spans="2:31">
      <c r="B34" t="s">
        <v>358</v>
      </c>
    </row>
    <row r="35" spans="2:31" ht="14.25" customHeight="1">
      <c r="G35" s="37" t="s">
        <v>0</v>
      </c>
      <c r="L35" s="37" t="s">
        <v>0</v>
      </c>
      <c r="AE35" s="29" t="s">
        <v>358</v>
      </c>
    </row>
  </sheetData>
  <mergeCells count="2">
    <mergeCell ref="G7:K7"/>
    <mergeCell ref="L7:O7"/>
  </mergeCells>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47d1c65-9f6c-49e5-a774-2c92ccb46d02">EUCW2WRC2PUD-174709421-3420</_dlc_DocId>
    <_dlc_DocIdUrl xmlns="e47d1c65-9f6c-49e5-a774-2c92ccb46d02">
      <Url>https://dochub/div/economicanalyticalservices/businessfunctions/publicationsmgmt/resourcesenergyqtrly/_layouts/15/DocIdRedir.aspx?ID=EUCW2WRC2PUD-174709421-3420</Url>
      <Description>EUCW2WRC2PUD-174709421-3420</Description>
    </_dlc_DocIdUrl>
    <n99e4c9942c6404eb103464a00e6097b xmlns="e47d1c65-9f6c-49e5-a774-2c92ccb46d02">
      <Terms xmlns="http://schemas.microsoft.com/office/infopath/2007/PartnerControls"/>
    </n99e4c9942c6404eb103464a00e6097b>
    <kaaee9def0d5443e8f4458f32b64868e xmlns="e47d1c65-9f6c-49e5-a774-2c92ccb46d02">
      <Terms xmlns="http://schemas.microsoft.com/office/infopath/2007/PartnerControls"/>
    </kaaee9def0d5443e8f4458f32b64868e>
    <adb9bed2e36e4a93af574aeb444da63e xmlns="e47d1c65-9f6c-49e5-a774-2c92ccb46d02">
      <Terms xmlns="http://schemas.microsoft.com/office/infopath/2007/PartnerControls"/>
    </adb9bed2e36e4a93af574aeb444da63e>
    <pe2555c81638466f9eb614edb9ecde52 xmlns="e47d1c65-9f6c-49e5-a774-2c92ccb46d02">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48c54089-4c01-49cb-b266-0173afb66157</TermId>
        </TermInfo>
      </Terms>
    </pe2555c81638466f9eb614edb9ecde52>
    <TaxCatchAll xmlns="e47d1c65-9f6c-49e5-a774-2c92ccb46d02">
      <Value>38</Value>
      <Value>3</Value>
    </TaxCatchAll>
    <aa25a1a23adf4c92a153145de6afe324 xmlns="e47d1c65-9f6c-49e5-a774-2c92ccb46d02">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g7bcb40ba23249a78edca7d43a67c1c9 xmlns="e47d1c65-9f6c-49e5-a774-2c92ccb46d02">
      <Terms xmlns="http://schemas.microsoft.com/office/infopath/2007/PartnerControls"/>
    </g7bcb40ba23249a78edca7d43a67c1c9>
    <Comments xmlns="http://schemas.microsoft.com/sharepoint/v3" xsi:nil="true"/>
    <dd4169bfec02452785090413feb21a7f xmlns="e47d1c65-9f6c-49e5-a774-2c92ccb46d02">
      <Terms xmlns="http://schemas.microsoft.com/office/infopath/2007/PartnerControls"/>
    </dd4169bfec02452785090413feb21a7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1C0F00054C3B44B5812793DA6F4998" ma:contentTypeVersion="18" ma:contentTypeDescription="Create a new document." ma:contentTypeScope="" ma:versionID="1722d0866d3518a76e92890632eba1ea">
  <xsd:schema xmlns:xsd="http://www.w3.org/2001/XMLSchema" xmlns:xs="http://www.w3.org/2001/XMLSchema" xmlns:p="http://schemas.microsoft.com/office/2006/metadata/properties" xmlns:ns1="http://schemas.microsoft.com/sharepoint/v3" xmlns:ns2="e47d1c65-9f6c-49e5-a774-2c92ccb46d02" targetNamespace="http://schemas.microsoft.com/office/2006/metadata/properties" ma:root="true" ma:fieldsID="ea66160c22e83a4866d2f45ae0be182c" ns1:_="" ns2:_="">
    <xsd:import namespace="http://schemas.microsoft.com/sharepoint/v3"/>
    <xsd:import namespace="e47d1c65-9f6c-49e5-a774-2c92ccb46d02"/>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kaaee9def0d5443e8f4458f32b64868e" minOccurs="0"/>
                <xsd:element ref="ns2:dd4169bfec02452785090413feb21a7f"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7d1c65-9f6c-49e5-a774-2c92ccb46d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835f851f-72f6-498a-a802-dc52b0f6bebd}" ma:internalName="TaxCatchAll" ma:showField="CatchAllData" ma:web="e47d1c65-9f6c-49e5-a774-2c92ccb46d02">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3990c95c-aaef-4b88-979c-1afb69c61976"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kaaee9def0d5443e8f4458f32b64868e" ma:index="24" nillable="true" ma:taxonomy="true" ma:internalName="kaaee9def0d5443e8f4458f32b64868e" ma:taxonomyFieldName="DocHub_Period" ma:displayName="Period" ma:indexed="true" ma:fieldId="{4aaee9de-f0d5-443e-8f44-58f32b64868e}" ma:sspId="fb0313f7-9433-48c0-866e-9e0bbee59a50" ma:termSetId="bf3c6560-fcaa-4c7c-ac72-36d1fb46c56a" ma:anchorId="00000000-0000-0000-0000-000000000000" ma:open="false" ma:isKeyword="false">
      <xsd:complexType>
        <xsd:sequence>
          <xsd:element ref="pc:Terms" minOccurs="0" maxOccurs="1"/>
        </xsd:sequence>
      </xsd:complexType>
    </xsd:element>
    <xsd:element name="dd4169bfec02452785090413feb21a7f" ma:index="26" nillable="true" ma:taxonomy="true" ma:internalName="dd4169bfec02452785090413feb21a7f" ma:taxonomyFieldName="DocHub_CommodityType" ma:displayName="Commodity Type" ma:default="" ma:fieldId="{dd4169bf-ec02-4527-8509-0413feb21a7f}" ma:taxonomyMulti="true" ma:sspId="fb0313f7-9433-48c0-866e-9e0bbee59a50" ma:termSetId="f83529cc-ffc6-4168-8907-0012e9af402f" ma:anchorId="00000000-0000-0000-0000-000000000000" ma:open="false" ma:isKeyword="false">
      <xsd:complexType>
        <xsd:sequence>
          <xsd:element ref="pc:Terms" minOccurs="0" maxOccurs="1"/>
        </xsd:sequence>
      </xsd:complexType>
    </xsd:element>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3EAA374-4AE2-4669-BE86-74CD49392C9B}">
  <ds:schemaRefs>
    <ds:schemaRef ds:uri="http://schemas.microsoft.com/sharepoint/v3/contenttype/forms"/>
  </ds:schemaRefs>
</ds:datastoreItem>
</file>

<file path=customXml/itemProps2.xml><?xml version="1.0" encoding="utf-8"?>
<ds:datastoreItem xmlns:ds="http://schemas.openxmlformats.org/officeDocument/2006/customXml" ds:itemID="{4DC3C577-4788-45BF-8DB1-D2A33AEA6FB4}">
  <ds:schemaRef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e47d1c65-9f6c-49e5-a774-2c92ccb46d02"/>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0FBE554-2018-4002-AFD6-6C89AEBAE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7d1c65-9f6c-49e5-a774-2c92ccb46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E81BD57-8560-4B22-91AC-7B67F41B00E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17</vt:i4>
      </vt:variant>
    </vt:vector>
  </HeadingPairs>
  <TitlesOfParts>
    <vt:vector size="40" baseType="lpstr">
      <vt:lpstr>About</vt:lpstr>
      <vt:lpstr>Contents</vt:lpstr>
      <vt:lpstr>World macro</vt:lpstr>
      <vt:lpstr>Aus macro</vt:lpstr>
      <vt:lpstr>Commodity sector</vt:lpstr>
      <vt:lpstr>Selected exports</vt:lpstr>
      <vt:lpstr>Quarterly prices</vt:lpstr>
      <vt:lpstr>Quarterly export volumes</vt:lpstr>
      <vt:lpstr>Quarterly export values</vt:lpstr>
      <vt:lpstr>Steel-making</vt:lpstr>
      <vt:lpstr>Steel-making steel</vt:lpstr>
      <vt:lpstr>Steel-making iron ore</vt:lpstr>
      <vt:lpstr>Steel-making met coal</vt:lpstr>
      <vt:lpstr>Thermal coal</vt:lpstr>
      <vt:lpstr>Oil</vt:lpstr>
      <vt:lpstr>Gas</vt:lpstr>
      <vt:lpstr>Uranium</vt:lpstr>
      <vt:lpstr>Gold</vt:lpstr>
      <vt:lpstr>Aluminium</vt:lpstr>
      <vt:lpstr>Copper</vt:lpstr>
      <vt:lpstr>Nickel</vt:lpstr>
      <vt:lpstr>Zinc</vt:lpstr>
      <vt:lpstr>Lithium</vt:lpstr>
      <vt:lpstr>Aluminium!Print_Area</vt:lpstr>
      <vt:lpstr>'Aus macro'!Print_Area</vt:lpstr>
      <vt:lpstr>'Commodity sector'!Print_Area</vt:lpstr>
      <vt:lpstr>Copper!Print_Area</vt:lpstr>
      <vt:lpstr>Gas!Print_Area</vt:lpstr>
      <vt:lpstr>Gold!Print_Area</vt:lpstr>
      <vt:lpstr>Nickel!Print_Area</vt:lpstr>
      <vt:lpstr>Oil!Print_Area</vt:lpstr>
      <vt:lpstr>'Selected exports'!Print_Area</vt:lpstr>
      <vt:lpstr>'Steel-making'!Print_Area</vt:lpstr>
      <vt:lpstr>'Steel-making iron ore'!Print_Area</vt:lpstr>
      <vt:lpstr>'Steel-making met coal'!Print_Area</vt:lpstr>
      <vt:lpstr>'Steel-making steel'!Print_Area</vt:lpstr>
      <vt:lpstr>'Thermal coal'!Print_Area</vt:lpstr>
      <vt:lpstr>Uranium!Print_Area</vt:lpstr>
      <vt:lpstr>'World macro'!Print_Area</vt:lpstr>
      <vt:lpstr>Zinc!Print_Area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Shael</dc:creator>
  <cp:lastModifiedBy>Tang, Justin</cp:lastModifiedBy>
  <cp:lastPrinted>2016-04-04T00:54:10Z</cp:lastPrinted>
  <dcterms:created xsi:type="dcterms:W3CDTF">2013-11-14T02:16:05Z</dcterms:created>
  <dcterms:modified xsi:type="dcterms:W3CDTF">2024-03-25T04:35:09Z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3b7eb6c6-6d93-427b-be31-9216752a6411</vt:lpwstr>
  </property>
  <property fmtid="{D5CDD505-2E9C-101B-9397-08002B2CF9AE}" pid="3" name="ContentTypeId">
    <vt:lpwstr>0x010100EF1C0F00054C3B44B5812793DA6F4998</vt:lpwstr>
  </property>
  <property fmtid="{D5CDD505-2E9C-101B-9397-08002B2CF9AE}" pid="4" name="DocHub_Year">
    <vt:lpwstr/>
  </property>
  <property fmtid="{D5CDD505-2E9C-101B-9397-08002B2CF9AE}" pid="5" name="DocHub_DocumentType">
    <vt:lpwstr>38;#Analysis|48c54089-4c01-49cb-b266-0173afb66157</vt:lpwstr>
  </property>
  <property fmtid="{D5CDD505-2E9C-101B-9397-08002B2CF9AE}" pid="6" name="DocHub_SecurityClassification">
    <vt:lpwstr>3;#OFFICIAL|6106d03b-a1a0-4e30-9d91-d5e9fb4314f9</vt:lpwstr>
  </property>
  <property fmtid="{D5CDD505-2E9C-101B-9397-08002B2CF9AE}" pid="7" name="DocHub_Period">
    <vt:lpwstr/>
  </property>
  <property fmtid="{D5CDD505-2E9C-101B-9397-08002B2CF9AE}" pid="8" name="DocHub_WorkActivity">
    <vt:lpwstr/>
  </property>
  <property fmtid="{D5CDD505-2E9C-101B-9397-08002B2CF9AE}" pid="9" name="DocHub_CommodityType">
    <vt:lpwstr/>
  </property>
  <property fmtid="{D5CDD505-2E9C-101B-9397-08002B2CF9AE}" pid="10" name="DocHub_Keywords">
    <vt:lpwstr/>
  </property>
  <property fmtid="{D5CDD505-2E9C-101B-9397-08002B2CF9AE}" pid="11" name="{A44787D4-0540-4523-9961-78E4036D8C6D}">
    <vt:lpwstr>{9447B1E3-164C-4F91-8027-7B0A70538A39}</vt:lpwstr>
  </property>
</Properties>
</file>